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hecks" sheetId="2" state="visible" r:id="rId4"/>
    <sheet name="Data_K5" sheetId="3" state="visible" r:id="rId5"/>
    <sheet name="Data_AllPrograms" sheetId="4" state="visible" r:id="rId6"/>
    <sheet name="Data_Schools" sheetId="5" state="visible" r:id="rId7"/>
    <sheet name="Data_District" sheetId="6" state="visible" r:id="rId8"/>
    <sheet name="Trends" sheetId="7" state="visible" r:id="rId9"/>
    <sheet name="Models" sheetId="8" state="visible" r:id="rId10"/>
    <sheet name="Advancement" sheetId="9" state="visible" r:id="rId11"/>
    <sheet name="Welch_sensitivity" sheetId="10" state="visible" r:id="rId12"/>
    <sheet name="Cohorts" sheetId="11" state="visible" r:id="rId13"/>
    <sheet name="Projections" sheetId="12" state="visible" r:id="rId14"/>
    <sheet name="Finance" sheetId="13" state="visible" r:id="rId15"/>
    <sheet name="Capacity" sheetId="14" state="visible" r:id="rId16"/>
    <sheet name="Forecast_accuracy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<sst xmlns="http://schemas.openxmlformats.org/spreadsheetml/2006/main" count="828" uniqueCount="434">
  <si>
    <t xml:space="preserve">OSD Elementary Closure Community Analysis: statistical workbook</t>
  </si>
  <si>
    <t xml:space="preserve">Reproduces every number in Appendix A of the report from the district enrollment files (folder data/).</t>
  </si>
  <si>
    <t xml:space="preserve">Built by reproduce.py; rerunning the script regenerates this file exactly.</t>
  </si>
  <si>
    <t xml:space="preserve">How to read it</t>
  </si>
  <si>
    <t xml:space="preserve">Data tabs hold the enrollment counts as compiled from the OSD enrollment dashboard (blue = source data).</t>
  </si>
  <si>
    <t xml:space="preserve">Ratios, shares, cohorts, finance, reserve paths, and capacity are live Excel formulas: click a cell to see the math.</t>
  </si>
  <si>
    <t xml:space="preserve">Regressions, Newey-West standard errors, model fits, and the bootstrap cannot be written as simple formulas; their results are entered as values from reproduce.py, next to Excel SLOPE() checks where possible.</t>
  </si>
  <si>
    <t xml:space="preserve">Yellow cells are assumptions you can change; dependent cells update.</t>
  </si>
  <si>
    <t xml:space="preserve">Methods</t>
  </si>
  <si>
    <t xml:space="preserve">Trends: ordinary least squares of headcount on year. Full-period trends (2009-2026) use Newey-West standard errors (Bartlett kernel, lag 2, small-sample factor n/(n-2)); segments of 2019 or later use ordinary standard errors. 95% intervals use the t distribution. Significance threshold p &lt; 0.05, no multiple-comparison correction.</t>
  </si>
  <si>
    <t xml:space="preserve">Period comparisons of advancement ratios: Welch two-sample t-tests, 2010-2019 vs. 2022-2026 (2020 and 2021 COVID transitions excluded).</t>
  </si>
  <si>
    <t xml:space="preserve">Dependence check: because each year can depend on the year before, the Welch tests were checked for serial correlation (Welch_sensitivity tab). Advancement ratios are year-over-year growth rates and show little serial correlation (average lag-1 autocorrelation -0.20 for K-5, -0.01 for K-12); an effective-sample-size adjustment leaves every K-5 result unchanged, and a permutation test agrees with Welch for every K-5 transition. Welch is therefore appropriate, with no correction applied.</t>
  </si>
  <si>
    <t xml:space="preserve">Model comparison: AIC = n ln(RSS/n) + 2k, k = number of fitted coefficients.</t>
  </si>
  <si>
    <t xml:space="preserve">Projections: cohort survival. K-5 bootstrap: 20,000 draws, each resampling a whole year of advancement ratios and adding 4% random variation to kindergarten (seed 20261012). K-12: deterministic, 2022-2026 mean ratios.</t>
  </si>
  <si>
    <t xml:space="preserve">Data cleaning</t>
  </si>
  <si>
    <t xml:space="preserve">September headcount for school and grade analyses; annual average of monthly counts for district totals. Stray entries of 0-3 students listed in grades outside a file's range (4th-5th in the middle school file, 7th-8th in the high school file) are omitted. 2026-27 has only a September count and is provisional.</t>
  </si>
  <si>
    <t xml:space="preserve">Checks tab</t>
  </si>
  <si>
    <t xml:space="preserve">Lists each reported figure, the reproduced value, and whether they match. All items match the final report or differ only by rounding.</t>
  </si>
  <si>
    <t xml:space="preserve">Reported figures compared with reproduced values</t>
  </si>
  <si>
    <t xml:space="preserve">MATCH = reproduced exactly at the report's precision. ROUNDING = differs only by rounding. Checked against the final report as updated Oct. 13, 2026.</t>
  </si>
  <si>
    <t xml:space="preserve">Report location</t>
  </si>
  <si>
    <t xml:space="preserve">Item</t>
  </si>
  <si>
    <t xml:space="preserve">Report says</t>
  </si>
  <si>
    <t xml:space="preserve">Reproduced</t>
  </si>
  <si>
    <t xml:space="preserve">Status</t>
  </si>
  <si>
    <t xml:space="preserve">Note</t>
  </si>
  <si>
    <t xml:space="preserve">Table A5.1</t>
  </si>
  <si>
    <t xml:space="preserve">K-5 headcount by grade, 2009-2026</t>
  </si>
  <si>
    <t xml:space="preserve">as printed</t>
  </si>
  <si>
    <t xml:space="preserve">identical, all 108 cells</t>
  </si>
  <si>
    <t xml:space="preserve">MATCH</t>
  </si>
  <si>
    <t xml:space="preserve">Table A7.1</t>
  </si>
  <si>
    <t xml:space="preserve">District annual average and September headcount</t>
  </si>
  <si>
    <t xml:space="preserve">identical</t>
  </si>
  <si>
    <t xml:space="preserve">Table A5.2</t>
  </si>
  <si>
    <t xml:space="preserve">All eight trend rows</t>
  </si>
  <si>
    <t xml:space="preserve">identical (slope, CI, p, R²)</t>
  </si>
  <si>
    <t xml:space="preserve">Kindergarten 2020-26 p = 0.0006, reported &lt;0.001</t>
  </si>
  <si>
    <t xml:space="preserve">Table 4</t>
  </si>
  <si>
    <t xml:space="preserve">All school trends, shares, combined rows</t>
  </si>
  <si>
    <t xml:space="preserve">Closing vs. other 8 (p = 0.78) is the trend in the closing schools' share of K-5 enrollment, Newey-West SE</t>
  </si>
  <si>
    <t xml:space="preserve">Table A7.2, row 1</t>
  </si>
  <si>
    <t xml:space="preserve">District trend 2009-10 to 2025-26</t>
  </si>
  <si>
    <t xml:space="preserve">+26.8 (-6.6 to +60.2), p = 0.108</t>
  </si>
  <si>
    <t xml:space="preserve">Newey-West SE, as for all full-period trends (corrected Oct. 12 from an earlier draft that printed ordinary SE)</t>
  </si>
  <si>
    <t xml:space="preserve">Table A7.2, rows 2-5</t>
  </si>
  <si>
    <t xml:space="preserve">District trends by period</t>
  </si>
  <si>
    <t xml:space="preserve">Table A6.1 / Table 3</t>
  </si>
  <si>
    <t xml:space="preserve">R² and AIC for all seven models; free cycle length 15.1 years</t>
  </si>
  <si>
    <t xml:space="preserve">AIC = n ln(RSS/n) + 2k</t>
  </si>
  <si>
    <t xml:space="preserve">Table A6.1, cycle models</t>
  </si>
  <si>
    <t xml:space="preserve">Implied low points</t>
  </si>
  <si>
    <t xml:space="preserve">15-yr 2041; 20-yr 2029; 25-yr 2032; 30-yr 2036</t>
  </si>
  <si>
    <t xml:space="preserve">Low points include the fitted trend (corrected Oct. 12; an earlier draft gave 2045 for the 20-year model)</t>
  </si>
  <si>
    <t xml:space="preserve">Tables A10.1, A10.2</t>
  </si>
  <si>
    <t xml:space="preserve">Advancement ratio means, SDs, Welch p</t>
  </si>
  <si>
    <t xml:space="preserve">2021 K-to-1 ratio 1.036 (K-5)</t>
  </si>
  <si>
    <t xml:space="preserve">Appendix A10, methods note</t>
  </si>
  <si>
    <t xml:space="preserve">Dependence check for Welch tests</t>
  </si>
  <si>
    <t xml:space="preserve">average lag-1 autocorrelation -0.20 (K-5), -0.01 (K-12); every K-5 result unchanged</t>
  </si>
  <si>
    <t xml:space="preserve">-0.20 and -0.01; K-5 effective-n p identical to Welch</t>
  </si>
  <si>
    <t xml:space="preserve">See Welch_sensitivity tab; permutation test agrees</t>
  </si>
  <si>
    <t xml:space="preserve">Enrollment, "Families join at every grade"</t>
  </si>
  <si>
    <t xml:space="preserve">K to 1 ratio before and after COVID</t>
  </si>
  <si>
    <t xml:space="preserve">1.053 before, 1.069 after; no significant change; most slightly higher</t>
  </si>
  <si>
    <t xml:space="preserve">identical (4 of 5 K-5 transitions higher)</t>
  </si>
  <si>
    <t xml:space="preserve">Wording changed Oct. 13 from "the same as before COVID"</t>
  </si>
  <si>
    <t xml:space="preserve">Table A11.1</t>
  </si>
  <si>
    <t xml:space="preserve">Cohort growth K to 5</t>
  </si>
  <si>
    <t xml:space="preserve">Table A8.1</t>
  </si>
  <si>
    <t xml:space="preserve">Bootstrap medians and intervals</t>
  </si>
  <si>
    <t xml:space="preserve">within 1-3 students</t>
  </si>
  <si>
    <t xml:space="preserve">ROUNDING</t>
  </si>
  <si>
    <t xml:space="preserve">Simulation noise; this file fixes the random seed so reruns are identical</t>
  </si>
  <si>
    <t xml:space="preserve">Table A8.2</t>
  </si>
  <si>
    <t xml:space="preserve">K-12 projections</t>
  </si>
  <si>
    <t xml:space="preserve">Middle school -12.8% by 2033, high school -11.4% by 2034, K-12 -9.7% by 2034 (body: 13%, 11%, 10%)</t>
  </si>
  <si>
    <t xml:space="preserve">Tables A4.1, A4.2</t>
  </si>
  <si>
    <t xml:space="preserve">Forecast errors, mean absolute 5.8%, SD 8.6%</t>
  </si>
  <si>
    <t xml:space="preserve">Table A3.1, Table 7</t>
  </si>
  <si>
    <t xml:space="preserve">Attrition and enrollment-loss scenarios</t>
  </si>
  <si>
    <t xml:space="preserve">Table 8</t>
  </si>
  <si>
    <t xml:space="preserve">Custodial cost and net savings</t>
  </si>
  <si>
    <t xml:space="preserve">-0.24 / -0.38; net 1.99 / 1.32</t>
  </si>
  <si>
    <t xml:space="preserve">-0.23 / -0.37; net 2.00 / 1.33</t>
  </si>
  <si>
    <t xml:space="preserve">43 rooms x 0.5-0.8 h / 8 h = 2.7-4.3 FTE x $86,744 = $233K-373K; the report rounds to $235K-375K</t>
  </si>
  <si>
    <t xml:space="preserve">Table 15 / Appendix A2</t>
  </si>
  <si>
    <t xml:space="preserve">Reserve paths</t>
  </si>
  <si>
    <t xml:space="preserve">identical to 0.1 point</t>
  </si>
  <si>
    <t xml:space="preserve">Appendix A2, "Reserve projection by option"</t>
  </si>
  <si>
    <t xml:space="preserve">Prior-year spending list</t>
  </si>
  <si>
    <t xml:space="preserve">$195.67, $202.93, $207.89, 212.52 million</t>
  </si>
  <si>
    <t xml:space="preserve">Table 10 / A12</t>
  </si>
  <si>
    <t xml:space="preserve">Planning and functional capacity, utilization at 22 per room</t>
  </si>
  <si>
    <t xml:space="preserve">Capacity text and finding 5</t>
  </si>
  <si>
    <t xml:space="preserve">Sensitivity at 24 students per room</t>
  </si>
  <si>
    <t xml:space="preserve">Centennial and Garfield about 92%; Pioneer and Roosevelt about 87%</t>
  </si>
  <si>
    <t xml:space="preserve">Centennial 92.9%, Garfield 92.1%; Pioneer 87.1%, Roosevelt 87.2%</t>
  </si>
  <si>
    <t xml:space="preserve">Special education rooms stay at 10 students. At 21 per room: 99-106%, so "at or over capacity" holds.</t>
  </si>
  <si>
    <t xml:space="preserve">Appendix A12</t>
  </si>
  <si>
    <t xml:space="preserve">Planning seats after closures</t>
  </si>
  <si>
    <t xml:space="preserve">3,970</t>
  </si>
  <si>
    <t xml:space="preserve">about 3,985 from room counts</t>
  </si>
  <si>
    <t xml:space="preserve">Utilization 82% either way</t>
  </si>
  <si>
    <t xml:space="preserve">Appendix A3</t>
  </si>
  <si>
    <t xml:space="preserve">Payroll, LAP share, Hansen averages, birth ratios</t>
  </si>
  <si>
    <t xml:space="preserve">September K-5 headcount by grade, 11 neighborhood schools (Table A5.1)</t>
  </si>
  <si>
    <t xml:space="preserve">Source: 2009_2026_OSD_Monthly_District_enrollment.xlsx, September rows.</t>
  </si>
  <si>
    <t xml:space="preserve">Fall</t>
  </si>
  <si>
    <t xml:space="preserve">K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</si>
  <si>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</si>
  <si>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</si>
  <si>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</si>
  <si>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</si>
  <si>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</si>
  <si>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K-5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</si>
  <si>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</si>
  <si>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</si>
  <si>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</si>
  <si>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</si>
  <si>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</si>
  <si>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</si>
  <si>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</si>
  <si>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</si>
  <si>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</si>
  <si>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</si>
  <si>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</si>
  <si>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</si>
  <si>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</si>
  <si>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</si>
  <si>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</si>
  <si>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</si>
  <si>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</si>
  <si>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</si>
  <si>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September headcount by grade, all programs including ORLA, K-12</t>
  </si>
  <si>
    <t xml:space="preserve">Sum of the 11 neighborhood schools, ORLA K-12, middle schools 6-8, and high schools 9-12 (September rows).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</si>
  <si>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</si>
  <si>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</si>
  <si>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</si>
  <si>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</si>
  <si>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</si>
  <si>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</si>
  <si>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</si>
  <si>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6-8</t>
  </si>
  <si>
    <t xml:space="preserve">9-12</t>
  </si>
  <si>
    <t xml:space="preserve">K-12</t>
  </si>
  <si>
    <t xml:space="preserve">September K-5 headcount by school (Table 4 inputs)</t>
  </si>
  <si>
    <t xml:space="preserve">Source: 2009_2026_OSD_Sept_per_school_enrollment.xlsx.</t>
  </si>
  <si>
    <t xml:space="preserve">McKenny</t>
  </si>
  <si>
    <t xml:space="preserve">LP Brown</t>
  </si>
  <si>
    <t xml:space="preserve">Madison</t>
  </si>
  <si>
    <t xml:space="preserve">Hansen</t>
  </si>
  <si>
    <t xml:space="preserve">Centennial</t>
  </si>
  <si>
    <t xml:space="preserve">Garfield</t>
  </si>
  <si>
    <t xml:space="preserve">Roosevelt</t>
  </si>
  <si>
    <t xml:space="preserve">Pioneer</t>
  </si>
  <si>
    <t xml:space="preserve">McLane</t>
  </si>
  <si>
    <t xml:space="preserve">Lincoln</t>
  </si>
  <si>
    <t xml:space="preserve">Boston Harbor</t>
  </si>
  <si>
    <t xml:space="preserve">Closing combined</t>
  </si>
  <si>
    <t xml:space="preserve">Other 8 combined</t>
  </si>
  <si>
    <t xml:space="preserve">All 11</t>
  </si>
  <si>
    <t xml:space="preserve">Closing share</t>
  </si>
  <si>
    <t xml:space="preserve">Share 2009</t>
  </si>
  <si>
    <t xml:space="preserve">Share 2026</t>
  </si>
  <si>
    <t xml:space="preserve">District-wide headcount, all grades (Table A7.1)</t>
  </si>
  <si>
    <t xml:space="preserve">Source: 2009_2026_OSD_Enrollment.xlsx. Annual average = mean of monthly counts (state funding basis).</t>
  </si>
  <si>
    <t xml:space="preserve">School year</t>
  </si>
  <si>
    <t xml:space="preserve">Months reported</t>
  </si>
  <si>
    <t xml:space="preserve">Annual average</t>
  </si>
  <si>
    <t xml:space="preserve">September</t>
  </si>
  <si>
    <t xml:space="preserve">2009-10</t>
  </si>
  <si>
    <t xml:space="preserve">2010-11</t>
  </si>
  <si>
    <t xml:space="preserve">2011-12</t>
  </si>
  <si>
    <t xml:space="preserve">2012-13</t>
  </si>
  <si>
    <t xml:space="preserve">2013-14</t>
  </si>
  <si>
    <t xml:space="preserve">2014-15</t>
  </si>
  <si>
    <t xml:space="preserve">2015-16</t>
  </si>
  <si>
    <t xml:space="preserve">2016-17</t>
  </si>
  <si>
    <t xml:space="preserve">2017-18</t>
  </si>
  <si>
    <t xml:space="preserve">2018-19</t>
  </si>
  <si>
    <t xml:space="preserve">2019-20</t>
  </si>
  <si>
    <t xml:space="preserve">2020-21</t>
  </si>
  <si>
    <t xml:space="preserve">2021-22</t>
  </si>
  <si>
    <t xml:space="preserve">2022-23</t>
  </si>
  <si>
    <t xml:space="preserve">2023-24</t>
  </si>
  <si>
    <t xml:space="preserve">2024-25</t>
  </si>
  <si>
    <t xml:space="preserve">2025-26</t>
  </si>
  <si>
    <t xml:space="preserve">2026-27</t>
  </si>
  <si>
    <t xml:space="preserve">Linear trends (Tables A5.2, A7.2, and Table 4)</t>
  </si>
  <si>
    <t xml:space="preserve">Values from reproduce.py. "Excel SLOPE check" recomputes the slope with Excel's SLOPE() from the data tabs; it should equal "Trend per year".</t>
  </si>
  <si>
    <t xml:space="preserve">Table</t>
  </si>
  <si>
    <t xml:space="preserve">Series</t>
  </si>
  <si>
    <t xml:space="preserve">Period</t>
  </si>
  <si>
    <t xml:space="preserve">Method</t>
  </si>
  <si>
    <t xml:space="preserve">Trend per year</t>
  </si>
  <si>
    <t xml:space="preserve">95% CI low</t>
  </si>
  <si>
    <t xml:space="preserve">95% CI high</t>
  </si>
  <si>
    <t xml:space="preserve">p</t>
  </si>
  <si>
    <t xml:space="preserve">R²</t>
  </si>
  <si>
    <t xml:space="preserve">n</t>
  </si>
  <si>
    <t xml:space="preserve">Excel SLOPE check</t>
  </si>
  <si>
    <t xml:space="preserve">A5.2</t>
  </si>
  <si>
    <t xml:space="preserve">Kindergarten</t>
  </si>
  <si>
    <t xml:space="preserve">2009-2019</t>
  </si>
  <si>
    <t xml:space="preserve">OLS, ordinary SE</t>
  </si>
  <si>
    <t xml:space="preserve">2020-2026</t>
  </si>
  <si>
    <t xml:space="preserve">K-5 total</t>
  </si>
  <si>
    <t xml:space="preserve">2009-2026</t>
  </si>
  <si>
    <t xml:space="preserve">OLS, Newey-West SE (lag 2)</t>
  </si>
  <si>
    <t xml:space="preserve">Grade 3</t>
  </si>
  <si>
    <t xml:space="preserve">2021-2026</t>
  </si>
  <si>
    <t xml:space="preserve">Grade 4</t>
  </si>
  <si>
    <t xml:space="preserve">Grade 5</t>
  </si>
  <si>
    <t xml:space="preserve">2019-2026</t>
  </si>
  <si>
    <t xml:space="preserve">Closing schools combined</t>
  </si>
  <si>
    <t xml:space="preserve">Other 8 schools combined</t>
  </si>
  <si>
    <t xml:space="preserve">All 11 schools</t>
  </si>
  <si>
    <t xml:space="preserve">Closing schools share of K-5 (difference vs. other 8)</t>
  </si>
  <si>
    <t xml:space="preserve">A7.2</t>
  </si>
  <si>
    <t xml:space="preserve">District annual average</t>
  </si>
  <si>
    <t xml:space="preserve">2009-2025</t>
  </si>
  <si>
    <t xml:space="preserve">2019-2025</t>
  </si>
  <si>
    <t xml:space="preserve">2020-2025</t>
  </si>
  <si>
    <t xml:space="preserve">District annual average (2026-27 = Sept. + 11)</t>
  </si>
  <si>
    <t xml:space="preserve">Model comparison, K-5 total, 2009-2026 (Table A6.1)</t>
  </si>
  <si>
    <t xml:space="preserve">AIC = n ln(RSS/n) + 2k. With the cycle length left free, the best fit is 15.1 years.</t>
  </si>
  <si>
    <t xml:space="preserve">Model</t>
  </si>
  <si>
    <t xml:space="preserve">Coefficients (k)</t>
  </si>
  <si>
    <t xml:space="preserve">AIC</t>
  </si>
  <si>
    <t xml:space="preserve">Cycle low point after 2026</t>
  </si>
  <si>
    <t xml:space="preserve">Two segments, break at 2020</t>
  </si>
  <si>
    <t xml:space="preserve">Straight line + 15-year cycle</t>
  </si>
  <si>
    <t xml:space="preserve">next low point about 2041</t>
  </si>
  <si>
    <t xml:space="preserve">Straight line + 20-year cycle</t>
  </si>
  <si>
    <t xml:space="preserve">next low point about 2029</t>
  </si>
  <si>
    <t xml:space="preserve">Straight line + 25-year cycle</t>
  </si>
  <si>
    <t xml:space="preserve">next low point about 2032</t>
  </si>
  <si>
    <t xml:space="preserve">Straight line + 30-year cycle</t>
  </si>
  <si>
    <t xml:space="preserve">next low point about 2036</t>
  </si>
  <si>
    <t xml:space="preserve">Quadratic</t>
  </si>
  <si>
    <t xml:space="preserve">Straight line</t>
  </si>
  <si>
    <t xml:space="preserve">Grade-to-grade advancement ratios (Tables A10.1 and A10.2)</t>
  </si>
  <si>
    <t xml:space="preserve">Ratio = grade g+1 this fall / grade g the prior fall. Welch t-test: TTEST(range1, range2, 2, 3). 2020 and 2021 transitions excluded.</t>
  </si>
  <si>
    <t xml:space="preserve">K-5, 11 neighborhood schools (A10.1)</t>
  </si>
  <si>
    <t xml:space="preserve">K to 1</t>
  </si>
  <si>
    <t xml:space="preserve">1 to 2</t>
  </si>
  <si>
    <t xml:space="preserve">2 to 3</t>
  </si>
  <si>
    <t xml:space="preserve">3 to 4</t>
  </si>
  <si>
    <t xml:space="preserve">4 to 5</t>
  </si>
  <si>
    <t xml:space="preserve">2010-2019 mean</t>
  </si>
  <si>
    <t xml:space="preserve">2010-2019 SD</t>
  </si>
  <si>
    <t xml:space="preserve">2022-2026 mean</t>
  </si>
  <si>
    <t xml:space="preserve">2022-2026 SD</t>
  </si>
  <si>
    <t xml:space="preserve">Welch p</t>
  </si>
  <si>
    <t xml:space="preserve">K-12, all programs including ORLA (A10.2)</t>
  </si>
  <si>
    <t xml:space="preserve">5 to 6</t>
  </si>
  <si>
    <t xml:space="preserve">6 to 7</t>
  </si>
  <si>
    <t xml:space="preserve">7 to 8</t>
  </si>
  <si>
    <t xml:space="preserve">8 to 9</t>
  </si>
  <si>
    <t xml:space="preserve">9 to 10</t>
  </si>
  <si>
    <t xml:space="preserve">10 to 11</t>
  </si>
  <si>
    <t xml:space="preserve">11 to 12</t>
  </si>
  <si>
    <t xml:space="preserve">Dependence check for the Welch tests (Appendix A10 methods note)</t>
  </si>
  <si>
    <t xml:space="preserve">Values from reproduce.py (permutation seeds 20261013 and 20261014). Question: does year-to-year dependence make the Welch p-values in Tables A10.1 and A10.2 unreliable?</t>
  </si>
  <si>
    <t xml:space="preserve">Why check: enrollment in one year depends on the year before, which is why full-period headcount trends use Newey-West standard errors. Welch corrects for unequal variances, not for dependence.</t>
  </si>
  <si>
    <t xml:space="preserve">Lag-1 autocorrelation: correlation of each ratio with the next year's ratio for the same transition, measured around each period's own mean (pairs within a period only).</t>
  </si>
  <si>
    <t xml:space="preserve">Effective-n Welch p: Welch recomputed with n_eff = n(1 - rho)/(1 + rho) when rho &gt; 0; when rho &lt;= 0 it equals the Welch p (negative autocorrelation is not used to enlarge n).</t>
  </si>
  <si>
    <t xml:space="preserve">Permutation p: share of 20,000 random relabelings of the 15 years whose before-after difference is at least as large as observed. It makes no normality or equal-variance assumption.</t>
  </si>
  <si>
    <t xml:space="preserve">Newey-West is not used here: with 15 observations it tends to understate standard errors, and with near-zero autocorrelation it offers no benefit.</t>
  </si>
  <si>
    <t xml:space="preserve">K-5, 11 neighborhood schools (Table A10.1)</t>
  </si>
  <si>
    <t xml:space="preserve">Transition</t>
  </si>
  <si>
    <t xml:space="preserve">Lag-1 autocorrelation</t>
  </si>
  <si>
    <t xml:space="preserve">Welch p (reported)</t>
  </si>
  <si>
    <t xml:space="preserve">Effective-n Welch p</t>
  </si>
  <si>
    <t xml:space="preserve">Permutation p</t>
  </si>
  <si>
    <t xml:space="preserve">Average</t>
  </si>
  <si>
    <t xml:space="preserve">K-12, all programs including ORLA (Table A10.2)</t>
  </si>
  <si>
    <t xml:space="preserve">Conclusion</t>
  </si>
  <si>
    <t xml:space="preserve">Advancement ratios are growth rates, so they carry little of the year-to-year persistence seen in headcounts; most autocorrelations are near zero or negative, which if anything makes Welch slightly conservative.</t>
  </si>
  <si>
    <t xml:space="preserve">Every K-5 result is unchanged by the effective-n adjustment, and the permutation test agrees with Welch. No K-5 transition changed significantly after COVID, and four of five are slightly higher.</t>
  </si>
  <si>
    <t xml:space="preserve">One exception, which the report does not rely on: 11 to 12 in K-12 has strong positive autocorrelation (+0.62); its Welch p of 0.01 rises to about 0.34 after adjustment. With 17 tests in the two tables, one p near 0.01 is about what chance alone would produce.</t>
  </si>
  <si>
    <t xml:space="preserve">In K-12, the permutation test gives a lower p for 5 to 6 (0.03, against Welch 0.08), pointing the same way as the report: classes grow at 6th grade since COVID. The report states that growth as a measured figure and does not rest on either test.</t>
  </si>
  <si>
    <t xml:space="preserve">With 10 and 5 years per period these tests detect only large changes, so a non-significant result means no detectable change, not proof of equality.</t>
  </si>
  <si>
    <t xml:space="preserve">Kindergarten classes tracked to 5th grade (Table A11.1)</t>
  </si>
  <si>
    <t xml:space="preserve">Formulas reference Data_K5.</t>
  </si>
  <si>
    <t xml:space="preserve">Kindergarten fall</t>
  </si>
  <si>
    <t xml:space="preserve">5th grade (5 years later)</t>
  </si>
  <si>
    <t xml:space="preserve">Growth</t>
  </si>
  <si>
    <t xml:space="preserve">Projections (Tables A8.1 and A8.2)</t>
  </si>
  <si>
    <t xml:space="preserve">Values from reproduce.py. Bootstrap seed 20261012; reruns give identical values.</t>
  </si>
  <si>
    <t xml:space="preserve">A8.1  K-5, 11 neighborhood schools, bootstrap cohort survival (median and 95% interval)</t>
  </si>
  <si>
    <t xml:space="preserve">Kindergarten scenario</t>
  </si>
  <si>
    <t xml:space="preserve">Fall 2028 median</t>
  </si>
  <si>
    <t xml:space="preserve">2.5%</t>
  </si>
  <si>
    <t xml:space="preserve">97.5%</t>
  </si>
  <si>
    <t xml:space="preserve">Fall 2030 median</t>
  </si>
  <si>
    <t xml:space="preserve">Holds at 456</t>
  </si>
  <si>
    <t xml:space="preserve">Falls 12 per year</t>
  </si>
  <si>
    <t xml:space="preserve">Falls 5% per year</t>
  </si>
  <si>
    <t xml:space="preserve">A8.2  K-12, all programs, deterministic, 2022-2026 mean advancement ratios</t>
  </si>
  <si>
    <t xml:space="preserve">K-5 (K holds at 513)</t>
  </si>
  <si>
    <t xml:space="preserve">K-12 (K falls 3%/yr)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</si>
  <si>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</si>
  <si>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</si>
  <si>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</si>
  <si>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</si>
  <si>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</si>
  <si>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</si>
  <si>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</si>
  <si>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</si>
  <si>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Mean advancement ratios used (2022-2026)</t>
  </si>
  <si>
    <t xml:space="preserve">Financial and enrollment-risk calculations (Appendix A2-A3; Tables 7, 8, 15)</t>
  </si>
  <si>
    <t xml:space="preserve">Blue = inputs from district documents; yellow = our assumptions (editable); black = formulas.</t>
  </si>
  <si>
    <t xml:space="preserve">Inputs</t>
  </si>
  <si>
    <t xml:space="preserve">Revenue per student ($)</t>
  </si>
  <si>
    <t xml:space="preserve">June 18, 2026 budget first reading (state and levy)</t>
  </si>
  <si>
    <t xml:space="preserve">Displaced students (Sept. 2026)</t>
  </si>
  <si>
    <t xml:space="preserve">McKenny 275 + LP Brown 306 + Madison 160</t>
  </si>
  <si>
    <t xml:space="preserve">Students now at receiving schools</t>
  </si>
  <si>
    <t xml:space="preserve">6883 report, 2025-26 basis</t>
  </si>
  <si>
    <t xml:space="preserve">District savings estimate ($M)</t>
  </si>
  <si>
    <t xml:space="preserve">6883 report</t>
  </si>
  <si>
    <t xml:space="preserve">Current utilities and maintenance, closing schools ($)</t>
  </si>
  <si>
    <t xml:space="preserve">Cost per custodian FTE ($)</t>
  </si>
  <si>
    <t xml:space="preserve">June 2026 average cost per FTE</t>
  </si>
  <si>
    <t xml:space="preserve">Newly filled classrooms at receiving schools</t>
  </si>
  <si>
    <t xml:space="preserve">6883 report room assignments</t>
  </si>
  <si>
    <t xml:space="preserve">2026-27 general fund spending ($M)</t>
  </si>
  <si>
    <t xml:space="preserve">Adopted budget</t>
  </si>
  <si>
    <t xml:space="preserve">2025-26 budgeted spending ($M)</t>
  </si>
  <si>
    <t xml:space="preserve">Salaries and benefits share of spending</t>
  </si>
  <si>
    <t xml:space="preserve">2026-27 budget</t>
  </si>
  <si>
    <t xml:space="preserve">2026-27 ending fund balance ($M)</t>
  </si>
  <si>
    <t xml:space="preserve">Attrition sensitivity (Table A3.1)</t>
  </si>
  <si>
    <t xml:space="preserve">Share of displaced who leave</t>
  </si>
  <si>
    <t xml:space="preserve">Students</t>
  </si>
  <si>
    <t xml:space="preserve">Revenue lost ($)</t>
  </si>
  <si>
    <t xml:space="preserve">Share of savings</t>
  </si>
  <si>
    <t xml:space="preserve">Enrollment loss under different bases (Table 7)</t>
  </si>
  <si>
    <t xml:space="preserve">Who leaves</t>
  </si>
  <si>
    <t xml:space="preserve">Revenue lost ($M)</t>
  </si>
  <si>
    <t xml:space="preserve">5% of displaced only</t>
  </si>
  <si>
    <t xml:space="preserve">5% of displaced + 1% at receiving</t>
  </si>
  <si>
    <t xml:space="preserve">5% of displaced + 2% at receiving</t>
  </si>
  <si>
    <t xml:space="preserve">5% of all at eight affected schools</t>
  </si>
  <si>
    <t xml:space="preserve">Closure savings after omitted costs (Table 8, $M)</t>
  </si>
  <si>
    <t xml:space="preserve">Lower-cost case</t>
  </si>
  <si>
    <t xml:space="preserve">Higher-cost case</t>
  </si>
  <si>
    <t xml:space="preserve">Basis</t>
  </si>
  <si>
    <t xml:space="preserve">District estimate (6883 report)</t>
  </si>
  <si>
    <t xml:space="preserve">Closed-building upkeep not budgeted</t>
  </si>
  <si>
    <t xml:space="preserve">Upkeep block below less $50,199 budgeted</t>
  </si>
  <si>
    <t xml:space="preserve">Custodians for newly filled rooms</t>
  </si>
  <si>
    <t xml:space="preserve">0.5-0.8 custodial hours per room per day, 8 hours per FTE</t>
  </si>
  <si>
    <t xml:space="preserve">Transportation savings not realized</t>
  </si>
  <si>
    <t xml:space="preserve">Enrollment loss</t>
  </si>
  <si>
    <t xml:space="preserve">Net annual savings</t>
  </si>
  <si>
    <t xml:space="preserve">Reduction from district estimate</t>
  </si>
  <si>
    <t xml:space="preserve">Closed-building upkeep (Table A2.4)</t>
  </si>
  <si>
    <t xml:space="preserve">Utilities and maintenance at 30-50%</t>
  </si>
  <si>
    <t xml:space="preserve">Custodial checks, 0.25-0.5 FTE</t>
  </si>
  <si>
    <t xml:space="preserve">Security and vandalism repair</t>
  </si>
  <si>
    <t xml:space="preserve">Total</t>
  </si>
  <si>
    <t xml:space="preserve">Other calculations (Appendix A3)</t>
  </si>
  <si>
    <t xml:space="preserve">One month of payroll ($M)</t>
  </si>
  <si>
    <t xml:space="preserve">  as share of 2026-27 spending</t>
  </si>
  <si>
    <t xml:space="preserve">  as share of 2025-26 spending</t>
  </si>
  <si>
    <t xml:space="preserve">LP Brown share of learning assistance ($)</t>
  </si>
  <si>
    <t xml:space="preserve">Hansen 3-yr low-income average, yr 1-3 at 52.7%</t>
  </si>
  <si>
    <t xml:space="preserve">Hansen 3-yr low-income average, yr 1-3 at 51.7%</t>
  </si>
  <si>
    <t xml:space="preserve">Kindergartners per in-district birth, 2019 (744/642)</t>
  </si>
  <si>
    <t xml:space="preserve">Kindergartners per in-district birth, 2026 (513/576)</t>
  </si>
  <si>
    <t xml:space="preserve">Extra kindergartners this fall at 1.08 / 1.16</t>
  </si>
  <si>
    <t xml:space="preserve">Extra per year vs. forecast 0.96, births 459 / 520</t>
  </si>
  <si>
    <t xml:space="preserve">Births below which 1.08 yields &lt; 50 extra</t>
  </si>
  <si>
    <t xml:space="preserve">Reserve projection by option (Table 15)</t>
  </si>
  <si>
    <t xml:space="preserve">2027-28</t>
  </si>
  <si>
    <t xml:space="preserve">2028-29</t>
  </si>
  <si>
    <t xml:space="preserve">2029-30</t>
  </si>
  <si>
    <t xml:space="preserve">2030-31</t>
  </si>
  <si>
    <t xml:space="preserve">Forecast gap ($M)</t>
  </si>
  <si>
    <t xml:space="preserve">Prior-year spending ($M)</t>
  </si>
  <si>
    <t xml:space="preserve">Alternatives midpoint ($M/yr)</t>
  </si>
  <si>
    <t xml:space="preserve">Recruited students per year</t>
  </si>
  <si>
    <t xml:space="preserve">Net value per recruited student (share of revenue)</t>
  </si>
  <si>
    <t xml:space="preserve">Midpoint closure costs other than enrollment ($M)</t>
  </si>
  <si>
    <t xml:space="preserve">Midpoint enrollment loss (students)</t>
  </si>
  <si>
    <t xml:space="preserve">Ending reserve, % of prior-year spending</t>
  </si>
  <si>
    <t xml:space="preserve">Ending balance ($M) 2027-28</t>
  </si>
  <si>
    <t xml:space="preserve">No action</t>
  </si>
  <si>
    <t xml:space="preserve">Alternatives only</t>
  </si>
  <si>
    <t xml:space="preserve">Staged recruitment (half value)</t>
  </si>
  <si>
    <t xml:space="preserve">Staged recruitment (full value)</t>
  </si>
  <si>
    <t xml:space="preserve">Closure, district's $3.14M</t>
  </si>
  <si>
    <t xml:space="preserve">Closure, district low end ($2.24M)</t>
  </si>
  <si>
    <t xml:space="preserve">Closure, our midpoint</t>
  </si>
  <si>
    <t xml:space="preserve">Closure, our higher-cost case</t>
  </si>
  <si>
    <t xml:space="preserve">Stress test: loss of 288 students</t>
  </si>
  <si>
    <t xml:space="preserve">Break-even enrollment loss (students): savings reach zero</t>
  </si>
  <si>
    <t xml:space="preserve">Break-even enrollment loss (students): savings below 2027-28 gap</t>
  </si>
  <si>
    <t xml:space="preserve">Capacity and utilization (Table 10 and Appendix A12)</t>
  </si>
  <si>
    <t xml:space="preserve">Rooms: Long Range Facilities Master Plan. Enrollment: 6883 report 2027-28 projections. Utilization = enrollment / capacity.</t>
  </si>
  <si>
    <t xml:space="preserve">Students per K-3 class</t>
  </si>
  <si>
    <t xml:space="preserve">Students per grade 4-5 class</t>
  </si>
  <si>
    <t xml:space="preserve">Functional students per room ((4 x K-3 + 2 x 4-5) / 6)</t>
  </si>
  <si>
    <t xml:space="preserve">Planning students per room (district)</t>
  </si>
  <si>
    <t xml:space="preserve">Students per special education room</t>
  </si>
  <si>
    <t xml:space="preserve">Sensitivity: alternate students per room</t>
  </si>
  <si>
    <t xml:space="preserve">School</t>
  </si>
  <si>
    <t xml:space="preserve">2027-28 students</t>
  </si>
  <si>
    <t xml:space="preserve">Classrooms</t>
  </si>
  <si>
    <t xml:space="preserve">of which special ed</t>
  </si>
  <si>
    <t xml:space="preserve">Planning capacity</t>
  </si>
  <si>
    <t xml:space="preserve">Utilization, planning</t>
  </si>
  <si>
    <t xml:space="preserve">Functional capacity</t>
  </si>
  <si>
    <t xml:space="preserve">Utilization, functional</t>
  </si>
  <si>
    <t xml:space="preserve">At alt. 1 (B9)</t>
  </si>
  <si>
    <t xml:space="preserve">At alt. 2 (C9)</t>
  </si>
  <si>
    <t xml:space="preserve">District-wide, 11 schools today: 204 general + 12 special ed rooms</t>
  </si>
  <si>
    <t xml:space="preserve">Functional seats</t>
  </si>
  <si>
    <t xml:space="preserve">After closures: 155 general + 11 special ed rooms (LP Brown 17+1, Madison 12, McKenny 20 removed)</t>
  </si>
  <si>
    <t xml:space="preserve">Planning seats</t>
  </si>
  <si>
    <t xml:space="preserve">2027-28 projected enrollment</t>
  </si>
  <si>
    <t xml:space="preserve">Forecast accuracy (Tables A4.1 and A4.2)</t>
  </si>
  <si>
    <t xml:space="preserve">Error = (actual - forecast) / forecast.</t>
  </si>
  <si>
    <t xml:space="preserve">2023 FLO forecast for 2025-26 vs. actual 2025-26 average headcount (A4.1)</t>
  </si>
  <si>
    <t xml:space="preserve">Forecast</t>
  </si>
  <si>
    <t xml:space="preserve">Actual</t>
  </si>
  <si>
    <t xml:space="preserve">Error</t>
  </si>
  <si>
    <t xml:space="preserve">Mean absolute school error</t>
  </si>
  <si>
    <t xml:space="preserve">SD of school errors</t>
  </si>
  <si>
    <t xml:space="preserve">BERK 2026-27 forecast vs. September 2026 headcount (A4.2)</t>
  </si>
  <si>
    <t xml:space="preserve">Sept. 2026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</si>
</sst>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"/>
    <numFmt numFmtId="166" formatCode="0.0%"/>
    <numFmt numFmtId="167" formatCode="0.0"/>
    <numFmt numFmtId="168" formatCode="0.0000"/>
    <numFmt numFmtId="169" formatCode="0.00"/>
    <numFmt numFmtId="170" formatCode="0.000"/>
    <numFmt numFmtId="171" formatCode="\+0.00;\-0.00"/>
    <numFmt numFmtId="172" formatCode="\+0.0%;\-0.0%"/>
    <numFmt numFmtId="173" formatCode="\$#,##0"/>
    <numFmt numFmtId="174" formatCode="0%"/>
    <numFmt numFmtId="175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2CC"/>
      </patternFill>
    </fill>
    <fill>
      <patternFill patternType="solid">
        <fgColor rgb="FFFFF2CC"/>
        <bgColor rgb="FFF2F2F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26.8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39.55" hidden="false" customHeight="false" outlineLevel="0" collapsed="false">
      <c r="A12" s="2" t="s">
        <v>9</v>
      </c>
    </row>
    <row r="13" customFormat="false" ht="26.85" hidden="false" customHeight="false" outlineLevel="0" collapsed="false">
      <c r="A13" s="2" t="s">
        <v>10</v>
      </c>
    </row>
    <row r="14" customFormat="false" ht="52.2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26.8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3" t="s">
        <v>14</v>
      </c>
    </row>
    <row r="19" customFormat="false" ht="39.5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3" t="s">
        <v>16</v>
      </c>
    </row>
    <row r="22" customFormat="false" ht="26.85" hidden="false" customHeight="false" outlineLevel="0" collapsed="false">
      <c r="A22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4" min="3" style="0" width="30"/>
    <col collapsed="false" customWidth="true" hidden="false" outlineLevel="0" max="5" min="5" style="0" width="11"/>
    <col collapsed="false" customWidth="true" hidden="false" outlineLevel="0" max="6" min="6" style="0" width="70"/>
  </cols>
  <sheetData>
    <row r="1" customFormat="false" ht="16.15" hidden="false" customHeight="false" outlineLevel="0" collapsed="false">
      <c r="A1" s="4" t="s">
        <v>18</v>
      </c>
    </row>
    <row r="2" customFormat="false" ht="15" hidden="false" customHeight="false" outlineLevel="0" collapsed="false">
      <c r="A2" s="5" t="s">
        <v>19</v>
      </c>
    </row>
    <row r="4" customFormat="false" ht="15" hidden="false" customHeight="false" outlineLevel="0" collapsed="false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</row>
    <row r="5" customFormat="false" ht="1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/>
    </row>
    <row r="6" customFormat="false" ht="26.85" hidden="false" customHeight="false" outlineLevel="0" collapsed="false">
      <c r="A6" s="2" t="s">
        <v>31</v>
      </c>
      <c r="B6" s="2" t="s">
        <v>32</v>
      </c>
      <c r="C6" s="2" t="s">
        <v>28</v>
      </c>
      <c r="D6" s="2" t="s">
        <v>33</v>
      </c>
      <c r="E6" s="2" t="s">
        <v>30</v>
      </c>
      <c r="F6" s="2"/>
    </row>
    <row r="7" customFormat="false" ht="15" hidden="false" customHeight="false" outlineLevel="0" collapsed="false">
      <c r="A7" s="2" t="s">
        <v>34</v>
      </c>
      <c r="B7" s="2" t="s">
        <v>35</v>
      </c>
      <c r="C7" s="2" t="s">
        <v>28</v>
      </c>
      <c r="D7" s="2" t="s">
        <v>36</v>
      </c>
      <c r="E7" s="2" t="s">
        <v>30</v>
      </c>
      <c r="F7" s="2" t="s">
        <v>37</v>
      </c>
    </row>
    <row r="8" customFormat="false" ht="26.85" hidden="false" customHeight="false" outlineLevel="0" collapsed="false">
      <c r="A8" s="2" t="s">
        <v>38</v>
      </c>
      <c r="B8" s="2" t="s">
        <v>39</v>
      </c>
      <c r="C8" s="2" t="s">
        <v>28</v>
      </c>
      <c r="D8" s="2" t="s">
        <v>33</v>
      </c>
      <c r="E8" s="2" t="s">
        <v>30</v>
      </c>
      <c r="F8" s="2" t="s">
        <v>40</v>
      </c>
    </row>
    <row r="9" customFormat="false" ht="26.85" hidden="false" customHeight="false" outlineLevel="0" collapsed="false">
      <c r="A9" s="2" t="s">
        <v>41</v>
      </c>
      <c r="B9" s="2" t="s">
        <v>42</v>
      </c>
      <c r="C9" s="2" t="s">
        <v>43</v>
      </c>
      <c r="D9" s="2" t="s">
        <v>43</v>
      </c>
      <c r="E9" s="2" t="s">
        <v>30</v>
      </c>
      <c r="F9" s="2" t="s">
        <v>44</v>
      </c>
    </row>
    <row r="10" customFormat="false" ht="15" hidden="false" customHeight="false" outlineLevel="0" collapsed="false">
      <c r="A10" s="2" t="s">
        <v>45</v>
      </c>
      <c r="B10" s="2" t="s">
        <v>46</v>
      </c>
      <c r="C10" s="2" t="s">
        <v>28</v>
      </c>
      <c r="D10" s="2" t="s">
        <v>33</v>
      </c>
      <c r="E10" s="2" t="s">
        <v>30</v>
      </c>
      <c r="F10" s="2"/>
    </row>
    <row r="11" customFormat="false" ht="26.85" hidden="false" customHeight="false" outlineLevel="0" collapsed="false">
      <c r="A11" s="2" t="s">
        <v>47</v>
      </c>
      <c r="B11" s="2" t="s">
        <v>48</v>
      </c>
      <c r="C11" s="2" t="s">
        <v>28</v>
      </c>
      <c r="D11" s="2" t="s">
        <v>33</v>
      </c>
      <c r="E11" s="2" t="s">
        <v>30</v>
      </c>
      <c r="F11" s="2" t="s">
        <v>49</v>
      </c>
    </row>
    <row r="12" customFormat="false" ht="26.85" hidden="false" customHeight="false" outlineLevel="0" collapsed="false">
      <c r="A12" s="2" t="s">
        <v>50</v>
      </c>
      <c r="B12" s="2" t="s">
        <v>51</v>
      </c>
      <c r="C12" s="2" t="s">
        <v>52</v>
      </c>
      <c r="D12" s="2" t="s">
        <v>33</v>
      </c>
      <c r="E12" s="2" t="s">
        <v>30</v>
      </c>
      <c r="F12" s="2" t="s">
        <v>53</v>
      </c>
    </row>
    <row r="13" customFormat="false" ht="26.85" hidden="false" customHeight="false" outlineLevel="0" collapsed="false">
      <c r="A13" s="2" t="s">
        <v>54</v>
      </c>
      <c r="B13" s="2" t="s">
        <v>55</v>
      </c>
      <c r="C13" s="2" t="s">
        <v>28</v>
      </c>
      <c r="D13" s="2" t="s">
        <v>33</v>
      </c>
      <c r="E13" s="2" t="s">
        <v>30</v>
      </c>
      <c r="F13" s="2" t="s">
        <v>56</v>
      </c>
    </row>
    <row r="14" customFormat="false" ht="39.55" hidden="false" customHeight="false" outlineLevel="0" collapsed="false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30</v>
      </c>
      <c r="F14" s="2" t="s">
        <v>61</v>
      </c>
    </row>
    <row r="15" customFormat="false" ht="39.55" hidden="false" customHeight="false" outlineLevel="0" collapsed="false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30</v>
      </c>
      <c r="F15" s="2" t="s">
        <v>66</v>
      </c>
    </row>
    <row r="16" customFormat="false" ht="15" hidden="false" customHeight="false" outlineLevel="0" collapsed="false">
      <c r="A16" s="2" t="s">
        <v>67</v>
      </c>
      <c r="B16" s="2" t="s">
        <v>68</v>
      </c>
      <c r="C16" s="2" t="s">
        <v>28</v>
      </c>
      <c r="D16" s="2" t="s">
        <v>33</v>
      </c>
      <c r="E16" s="2" t="s">
        <v>30</v>
      </c>
      <c r="F16" s="2"/>
    </row>
    <row r="17" customFormat="false" ht="26.85" hidden="false" customHeight="false" outlineLevel="0" collapsed="false">
      <c r="A17" s="2" t="s">
        <v>69</v>
      </c>
      <c r="B17" s="2" t="s">
        <v>70</v>
      </c>
      <c r="C17" s="2" t="s">
        <v>28</v>
      </c>
      <c r="D17" s="2" t="s">
        <v>71</v>
      </c>
      <c r="E17" s="2" t="s">
        <v>72</v>
      </c>
      <c r="F17" s="2" t="s">
        <v>73</v>
      </c>
    </row>
    <row r="18" customFormat="false" ht="26.85" hidden="false" customHeight="false" outlineLevel="0" collapsed="false">
      <c r="A18" s="2" t="s">
        <v>74</v>
      </c>
      <c r="B18" s="2" t="s">
        <v>75</v>
      </c>
      <c r="C18" s="2" t="s">
        <v>28</v>
      </c>
      <c r="D18" s="2" t="s">
        <v>33</v>
      </c>
      <c r="E18" s="2" t="s">
        <v>30</v>
      </c>
      <c r="F18" s="2" t="s">
        <v>76</v>
      </c>
    </row>
    <row r="19" customFormat="false" ht="26.85" hidden="false" customHeight="false" outlineLevel="0" collapsed="false">
      <c r="A19" s="2" t="s">
        <v>77</v>
      </c>
      <c r="B19" s="2" t="s">
        <v>78</v>
      </c>
      <c r="C19" s="2" t="s">
        <v>28</v>
      </c>
      <c r="D19" s="2" t="s">
        <v>33</v>
      </c>
      <c r="E19" s="2" t="s">
        <v>30</v>
      </c>
      <c r="F19" s="2"/>
    </row>
    <row r="20" customFormat="false" ht="26.85" hidden="false" customHeight="false" outlineLevel="0" collapsed="false">
      <c r="A20" s="2" t="s">
        <v>79</v>
      </c>
      <c r="B20" s="2" t="s">
        <v>80</v>
      </c>
      <c r="C20" s="2" t="s">
        <v>28</v>
      </c>
      <c r="D20" s="2" t="s">
        <v>33</v>
      </c>
      <c r="E20" s="2" t="s">
        <v>30</v>
      </c>
      <c r="F20" s="2"/>
    </row>
    <row r="21" customFormat="false" ht="26.85" hidden="false" customHeight="false" outlineLevel="0" collapsed="false">
      <c r="A21" s="2" t="s">
        <v>81</v>
      </c>
      <c r="B21" s="2" t="s">
        <v>82</v>
      </c>
      <c r="C21" s="2" t="s">
        <v>83</v>
      </c>
      <c r="D21" s="2" t="s">
        <v>84</v>
      </c>
      <c r="E21" s="2" t="s">
        <v>72</v>
      </c>
      <c r="F21" s="2" t="s">
        <v>85</v>
      </c>
    </row>
    <row r="22" customFormat="false" ht="15" hidden="false" customHeight="false" outlineLevel="0" collapsed="false">
      <c r="A22" s="2" t="s">
        <v>86</v>
      </c>
      <c r="B22" s="2" t="s">
        <v>87</v>
      </c>
      <c r="C22" s="2" t="s">
        <v>28</v>
      </c>
      <c r="D22" s="2" t="s">
        <v>88</v>
      </c>
      <c r="E22" s="2" t="s">
        <v>30</v>
      </c>
      <c r="F22" s="2"/>
    </row>
    <row r="23" customFormat="false" ht="26.85" hidden="false" customHeight="false" outlineLevel="0" collapsed="false">
      <c r="A23" s="2" t="s">
        <v>89</v>
      </c>
      <c r="B23" s="2" t="s">
        <v>90</v>
      </c>
      <c r="C23" s="2" t="s">
        <v>91</v>
      </c>
      <c r="D23" s="2" t="s">
        <v>33</v>
      </c>
      <c r="E23" s="2" t="s">
        <v>30</v>
      </c>
      <c r="F23" s="2"/>
    </row>
    <row r="24" customFormat="false" ht="26.85" hidden="false" customHeight="false" outlineLevel="0" collapsed="false">
      <c r="A24" s="2" t="s">
        <v>92</v>
      </c>
      <c r="B24" s="2" t="s">
        <v>93</v>
      </c>
      <c r="C24" s="2" t="s">
        <v>28</v>
      </c>
      <c r="D24" s="2" t="s">
        <v>33</v>
      </c>
      <c r="E24" s="2" t="s">
        <v>30</v>
      </c>
      <c r="F24" s="2"/>
    </row>
    <row r="25" customFormat="false" ht="39.55" hidden="false" customHeight="false" outlineLevel="0" collapsed="false">
      <c r="A25" s="2" t="s">
        <v>94</v>
      </c>
      <c r="B25" s="2" t="s">
        <v>95</v>
      </c>
      <c r="C25" s="2" t="s">
        <v>96</v>
      </c>
      <c r="D25" s="2" t="s">
        <v>97</v>
      </c>
      <c r="E25" s="2" t="s">
        <v>72</v>
      </c>
      <c r="F25" s="2" t="s">
        <v>98</v>
      </c>
    </row>
    <row r="26" customFormat="false" ht="26.85" hidden="false" customHeight="false" outlineLevel="0" collapsed="false">
      <c r="A26" s="2" t="s">
        <v>99</v>
      </c>
      <c r="B26" s="2" t="s">
        <v>100</v>
      </c>
      <c r="C26" s="2" t="s">
        <v>101</v>
      </c>
      <c r="D26" s="2" t="s">
        <v>102</v>
      </c>
      <c r="E26" s="2" t="s">
        <v>72</v>
      </c>
      <c r="F26" s="2" t="s">
        <v>103</v>
      </c>
    </row>
    <row r="27" customFormat="false" ht="26.85" hidden="false" customHeight="false" outlineLevel="0" collapsed="false">
      <c r="A27" s="2" t="s">
        <v>104</v>
      </c>
      <c r="B27" s="2" t="s">
        <v>105</v>
      </c>
      <c r="C27" s="2" t="s">
        <v>28</v>
      </c>
      <c r="D27" s="2" t="s">
        <v>33</v>
      </c>
      <c r="E27" s="2" t="s">
        <v>30</v>
      </c>
      <c r="F2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8" min="2" style="0" width="9"/>
  </cols>
  <sheetData>
    <row r="1" customFormat="false" ht="16.15" hidden="false" customHeight="false" outlineLevel="0" collapsed="false">
      <c r="A1" s="4" t="s">
        <v>106</v>
      </c>
    </row>
    <row r="2" customFormat="false" ht="15" hidden="false" customHeight="false" outlineLevel="0" collapsed="false">
      <c r="A2" s="5" t="s">
        <v>107</v>
      </c>
    </row>
    <row r="4" customFormat="false" ht="15" hidden="false" customHeight="false" outlineLevel="0" collapsed="false">
      <c r="A4" s="6" t="s">
        <v>108</v>
      </c>
      <c r="B4" s="6" t="s">
        <v>109</v>
      </c>
      <c r="C4" s="6" t="s">
        <v>110</v>
      </c>
      <c r="D4" s="6" t="s">
        <v>111</v>
      </c>
      <c r="E4" s="6" t="s">
        <v>112</v>
      </c>
      <c r="F4" s="6" t="s">
        <v>113</v>
      </c>
      <c r="G4" s="6" t="s">
        <v>114</v>
      </c>
      <c r="H4" s="6" t="s">
        <v>115</v>
      </c>
    </row>
    <row r="5" customFormat="false" ht="15" hidden="false" customHeight="false" outlineLevel="0" collapsed="false">
      <c r="A5" s="7" t="s">
        <v>116</v>
      </c>
      <c r="B5" s="8" t="n">
        <v>570</v>
      </c>
      <c r="C5" s="8" t="n">
        <v>619</v>
      </c>
      <c r="D5" s="8" t="n">
        <v>590</v>
      </c>
      <c r="E5" s="8" t="n">
        <v>625</v>
      </c>
      <c r="F5" s="8" t="n">
        <v>660</v>
      </c>
      <c r="G5" s="8" t="n">
        <v>650</v>
      </c>
      <c r="H5" s="9" t="n">
        <f aca="false">SUM(B5:G5)</f>
        <v>3714</v>
      </c>
    </row>
    <row r="6" customFormat="false" ht="15" hidden="false" customHeight="false" outlineLevel="0" collapsed="false">
      <c r="A6" s="7" t="s">
        <v>117</v>
      </c>
      <c r="B6" s="8" t="n">
        <v>581</v>
      </c>
      <c r="C6" s="8" t="n">
        <v>598</v>
      </c>
      <c r="D6" s="8" t="n">
        <v>617</v>
      </c>
      <c r="E6" s="8" t="n">
        <v>580</v>
      </c>
      <c r="F6" s="8" t="n">
        <v>629</v>
      </c>
      <c r="G6" s="8" t="n">
        <v>655</v>
      </c>
      <c r="H6" s="9" t="n">
        <f aca="false">SUM(B6:G6)</f>
        <v>3660</v>
      </c>
    </row>
    <row r="7" customFormat="false" ht="15" hidden="false" customHeight="false" outlineLevel="0" collapsed="false">
      <c r="A7" s="7" t="s">
        <v>118</v>
      </c>
      <c r="B7" s="8" t="n">
        <v>566</v>
      </c>
      <c r="C7" s="8" t="n">
        <v>594</v>
      </c>
      <c r="D7" s="8" t="n">
        <v>593</v>
      </c>
      <c r="E7" s="8" t="n">
        <v>606</v>
      </c>
      <c r="F7" s="8" t="n">
        <v>585</v>
      </c>
      <c r="G7" s="8" t="n">
        <v>622</v>
      </c>
      <c r="H7" s="9" t="n">
        <f aca="false">SUM(B7:G7)</f>
        <v>3566</v>
      </c>
    </row>
    <row r="8" customFormat="false" ht="15" hidden="false" customHeight="false" outlineLevel="0" collapsed="false">
      <c r="A8" s="7" t="s">
        <v>119</v>
      </c>
      <c r="B8" s="8" t="n">
        <v>593</v>
      </c>
      <c r="C8" s="8" t="n">
        <v>602</v>
      </c>
      <c r="D8" s="8" t="n">
        <v>618</v>
      </c>
      <c r="E8" s="8" t="n">
        <v>616</v>
      </c>
      <c r="F8" s="8" t="n">
        <v>634</v>
      </c>
      <c r="G8" s="8" t="n">
        <v>616</v>
      </c>
      <c r="H8" s="9" t="n">
        <f aca="false">SUM(B8:G8)</f>
        <v>3679</v>
      </c>
    </row>
    <row r="9" customFormat="false" ht="15" hidden="false" customHeight="false" outlineLevel="0" collapsed="false">
      <c r="A9" s="7" t="s">
        <v>120</v>
      </c>
      <c r="B9" s="8" t="n">
        <v>586</v>
      </c>
      <c r="C9" s="8" t="n">
        <v>649</v>
      </c>
      <c r="D9" s="8" t="n">
        <v>614</v>
      </c>
      <c r="E9" s="8" t="n">
        <v>630</v>
      </c>
      <c r="F9" s="8" t="n">
        <v>629</v>
      </c>
      <c r="G9" s="8" t="n">
        <v>641</v>
      </c>
      <c r="H9" s="9" t="n">
        <f aca="false">SUM(B9:G9)</f>
        <v>3749</v>
      </c>
    </row>
    <row r="10" customFormat="false" ht="15" hidden="false" customHeight="false" outlineLevel="0" collapsed="false">
      <c r="A10" s="7" t="s">
        <v>121</v>
      </c>
      <c r="B10" s="8" t="n">
        <v>623</v>
      </c>
      <c r="C10" s="8" t="n">
        <v>620</v>
      </c>
      <c r="D10" s="8" t="n">
        <v>650</v>
      </c>
      <c r="E10" s="8" t="n">
        <v>629</v>
      </c>
      <c r="F10" s="8" t="n">
        <v>650</v>
      </c>
      <c r="G10" s="8" t="n">
        <v>650</v>
      </c>
      <c r="H10" s="9" t="n">
        <f aca="false">SUM(B10:G10)</f>
        <v>3822</v>
      </c>
    </row>
    <row r="11" customFormat="false" ht="15" hidden="false" customHeight="false" outlineLevel="0" collapsed="false">
      <c r="A11" s="7" t="s">
        <v>122</v>
      </c>
      <c r="B11" s="8" t="n">
        <v>558</v>
      </c>
      <c r="C11" s="8" t="n">
        <v>636</v>
      </c>
      <c r="D11" s="8" t="n">
        <v>656</v>
      </c>
      <c r="E11" s="8" t="n">
        <v>644</v>
      </c>
      <c r="F11" s="8" t="n">
        <v>661</v>
      </c>
      <c r="G11" s="8" t="n">
        <v>680</v>
      </c>
      <c r="H11" s="9" t="n">
        <f aca="false">SUM(B11:G11)</f>
        <v>3835</v>
      </c>
    </row>
    <row r="12" customFormat="false" ht="15" hidden="false" customHeight="false" outlineLevel="0" collapsed="false">
      <c r="A12" s="7" t="s">
        <v>123</v>
      </c>
      <c r="B12" s="8" t="n">
        <v>582</v>
      </c>
      <c r="C12" s="8" t="n">
        <v>621</v>
      </c>
      <c r="D12" s="8" t="n">
        <v>692</v>
      </c>
      <c r="E12" s="8" t="n">
        <v>650</v>
      </c>
      <c r="F12" s="8" t="n">
        <v>672</v>
      </c>
      <c r="G12" s="8" t="n">
        <v>677</v>
      </c>
      <c r="H12" s="9" t="n">
        <f aca="false">SUM(B12:G12)</f>
        <v>3894</v>
      </c>
    </row>
    <row r="13" customFormat="false" ht="15" hidden="false" customHeight="false" outlineLevel="0" collapsed="false">
      <c r="A13" s="7" t="s">
        <v>124</v>
      </c>
      <c r="B13" s="8" t="n">
        <v>626</v>
      </c>
      <c r="C13" s="8" t="n">
        <v>592</v>
      </c>
      <c r="D13" s="8" t="n">
        <v>621</v>
      </c>
      <c r="E13" s="8" t="n">
        <v>709</v>
      </c>
      <c r="F13" s="8" t="n">
        <v>659</v>
      </c>
      <c r="G13" s="8" t="n">
        <v>696</v>
      </c>
      <c r="H13" s="9" t="n">
        <f aca="false">SUM(B13:G13)</f>
        <v>3903</v>
      </c>
    </row>
    <row r="14" customFormat="false" ht="15" hidden="false" customHeight="false" outlineLevel="0" collapsed="false">
      <c r="A14" s="7" t="s">
        <v>125</v>
      </c>
      <c r="B14" s="8" t="n">
        <v>637</v>
      </c>
      <c r="C14" s="8" t="n">
        <v>682</v>
      </c>
      <c r="D14" s="8" t="n">
        <v>615</v>
      </c>
      <c r="E14" s="8" t="n">
        <v>641</v>
      </c>
      <c r="F14" s="8" t="n">
        <v>709</v>
      </c>
      <c r="G14" s="8" t="n">
        <v>678</v>
      </c>
      <c r="H14" s="9" t="n">
        <f aca="false">SUM(B14:G14)</f>
        <v>3962</v>
      </c>
    </row>
    <row r="15" customFormat="false" ht="15" hidden="false" customHeight="false" outlineLevel="0" collapsed="false">
      <c r="A15" s="7" t="s">
        <v>126</v>
      </c>
      <c r="B15" s="8" t="n">
        <v>684</v>
      </c>
      <c r="C15" s="8" t="n">
        <v>639</v>
      </c>
      <c r="D15" s="8" t="n">
        <v>701</v>
      </c>
      <c r="E15" s="8" t="n">
        <v>627</v>
      </c>
      <c r="F15" s="8" t="n">
        <v>652</v>
      </c>
      <c r="G15" s="8" t="n">
        <v>728</v>
      </c>
      <c r="H15" s="9" t="n">
        <f aca="false">SUM(B15:G15)</f>
        <v>4031</v>
      </c>
    </row>
    <row r="16" customFormat="false" ht="15" hidden="false" customHeight="false" outlineLevel="0" collapsed="false">
      <c r="A16" s="7" t="s">
        <v>127</v>
      </c>
      <c r="B16" s="8" t="n">
        <v>525</v>
      </c>
      <c r="C16" s="8" t="n">
        <v>639</v>
      </c>
      <c r="D16" s="8" t="n">
        <v>618</v>
      </c>
      <c r="E16" s="8" t="n">
        <v>702</v>
      </c>
      <c r="F16" s="8" t="n">
        <v>602</v>
      </c>
      <c r="G16" s="8" t="n">
        <v>650</v>
      </c>
      <c r="H16" s="9" t="n">
        <f aca="false">SUM(B16:G16)</f>
        <v>3736</v>
      </c>
    </row>
    <row r="17" customFormat="false" ht="15" hidden="false" customHeight="false" outlineLevel="0" collapsed="false">
      <c r="A17" s="7" t="s">
        <v>128</v>
      </c>
      <c r="B17" s="8" t="n">
        <v>534</v>
      </c>
      <c r="C17" s="8" t="n">
        <v>544</v>
      </c>
      <c r="D17" s="8" t="n">
        <v>608</v>
      </c>
      <c r="E17" s="8" t="n">
        <v>573</v>
      </c>
      <c r="F17" s="8" t="n">
        <v>651</v>
      </c>
      <c r="G17" s="8" t="n">
        <v>569</v>
      </c>
      <c r="H17" s="9" t="n">
        <f aca="false">SUM(B17:G17)</f>
        <v>3479</v>
      </c>
    </row>
    <row r="18" customFormat="false" ht="15" hidden="false" customHeight="false" outlineLevel="0" collapsed="false">
      <c r="A18" s="7" t="s">
        <v>129</v>
      </c>
      <c r="B18" s="8" t="n">
        <v>516</v>
      </c>
      <c r="C18" s="8" t="n">
        <v>580</v>
      </c>
      <c r="D18" s="8" t="n">
        <v>572</v>
      </c>
      <c r="E18" s="8" t="n">
        <v>641</v>
      </c>
      <c r="F18" s="8" t="n">
        <v>618</v>
      </c>
      <c r="G18" s="8" t="n">
        <v>711</v>
      </c>
      <c r="H18" s="9" t="n">
        <f aca="false">SUM(B18:G18)</f>
        <v>3638</v>
      </c>
    </row>
    <row r="19" customFormat="false" ht="15" hidden="false" customHeight="false" outlineLevel="0" collapsed="false">
      <c r="A19" s="7" t="s">
        <v>130</v>
      </c>
      <c r="B19" s="8" t="n">
        <v>487</v>
      </c>
      <c r="C19" s="8" t="n">
        <v>551</v>
      </c>
      <c r="D19" s="8" t="n">
        <v>593</v>
      </c>
      <c r="E19" s="8" t="n">
        <v>582</v>
      </c>
      <c r="F19" s="8" t="n">
        <v>642</v>
      </c>
      <c r="G19" s="8" t="n">
        <v>604</v>
      </c>
      <c r="H19" s="9" t="n">
        <f aca="false">SUM(B19:G19)</f>
        <v>3459</v>
      </c>
    </row>
    <row r="20" customFormat="false" ht="15" hidden="false" customHeight="false" outlineLevel="0" collapsed="false">
      <c r="A20" s="7" t="s">
        <v>131</v>
      </c>
      <c r="B20" s="8" t="n">
        <v>479</v>
      </c>
      <c r="C20" s="8" t="n">
        <v>539</v>
      </c>
      <c r="D20" s="8" t="n">
        <v>555</v>
      </c>
      <c r="E20" s="8" t="n">
        <v>608</v>
      </c>
      <c r="F20" s="8" t="n">
        <v>609</v>
      </c>
      <c r="G20" s="8" t="n">
        <v>656</v>
      </c>
      <c r="H20" s="9" t="n">
        <f aca="false">SUM(B20:G20)</f>
        <v>3446</v>
      </c>
    </row>
    <row r="21" customFormat="false" ht="15" hidden="false" customHeight="false" outlineLevel="0" collapsed="false">
      <c r="A21" s="7" t="s">
        <v>132</v>
      </c>
      <c r="B21" s="8" t="n">
        <v>473</v>
      </c>
      <c r="C21" s="8" t="n">
        <v>491</v>
      </c>
      <c r="D21" s="8" t="n">
        <v>548</v>
      </c>
      <c r="E21" s="8" t="n">
        <v>589</v>
      </c>
      <c r="F21" s="8" t="n">
        <v>622</v>
      </c>
      <c r="G21" s="8" t="n">
        <v>625</v>
      </c>
      <c r="H21" s="9" t="n">
        <f aca="false">SUM(B21:G21)</f>
        <v>3348</v>
      </c>
    </row>
    <row r="22" customFormat="false" ht="15" hidden="false" customHeight="false" outlineLevel="0" collapsed="false">
      <c r="A22" s="7" t="s">
        <v>133</v>
      </c>
      <c r="B22" s="8" t="n">
        <v>456</v>
      </c>
      <c r="C22" s="8" t="n">
        <v>500</v>
      </c>
      <c r="D22" s="8" t="n">
        <v>502</v>
      </c>
      <c r="E22" s="8" t="n">
        <v>559</v>
      </c>
      <c r="F22" s="8" t="n">
        <v>605</v>
      </c>
      <c r="G22" s="8" t="n">
        <v>631</v>
      </c>
      <c r="H22" s="9" t="n">
        <f aca="false">SUM(B22:G22)</f>
        <v>3253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14" min="2" style="0" width="7"/>
    <col collapsed="false" customWidth="true" hidden="false" outlineLevel="0" max="18" min="15" style="0" width="8"/>
  </cols>
  <sheetData>
    <row r="1" customFormat="false" ht="16.15" hidden="false" customHeight="false" outlineLevel="0" collapsed="false">
      <c r="A1" s="4" t="s">
        <v>134</v>
      </c>
    </row>
    <row r="2" customFormat="false" ht="15" hidden="false" customHeight="false" outlineLevel="0" collapsed="false">
      <c r="A2" s="5" t="s">
        <v>135</v>
      </c>
    </row>
    <row r="4" customFormat="false" ht="15" hidden="false" customHeight="false" outlineLevel="0" collapsed="false">
      <c r="A4" s="6" t="s">
        <v>108</v>
      </c>
      <c r="B4" s="6" t="s">
        <v>109</v>
      </c>
      <c r="C4" s="6" t="s">
        <v>110</v>
      </c>
      <c r="D4" s="6" t="s">
        <v>111</v>
      </c>
      <c r="E4" s="6" t="s">
        <v>112</v>
      </c>
      <c r="F4" s="6" t="s">
        <v>113</v>
      </c>
      <c r="G4" s="6" t="s">
        <v>114</v>
      </c>
      <c r="H4" s="6" t="s">
        <v>136</v>
      </c>
      <c r="I4" s="6" t="s">
        <v>137</v>
      </c>
      <c r="J4" s="6" t="s">
        <v>138</v>
      </c>
      <c r="K4" s="6" t="s">
        <v>139</v>
      </c>
      <c r="L4" s="6" t="s">
        <v>140</v>
      </c>
      <c r="M4" s="6" t="s">
        <v>141</v>
      </c>
      <c r="N4" s="6" t="s">
        <v>142</v>
      </c>
      <c r="O4" s="6" t="s">
        <v>115</v>
      </c>
      <c r="P4" s="6" t="s">
        <v>143</v>
      </c>
      <c r="Q4" s="6" t="s">
        <v>144</v>
      </c>
      <c r="R4" s="6" t="s">
        <v>145</v>
      </c>
    </row>
    <row r="5" customFormat="false" ht="15" hidden="false" customHeight="false" outlineLevel="0" collapsed="false">
      <c r="A5" s="7" t="s">
        <v>116</v>
      </c>
      <c r="B5" s="8" t="n">
        <v>595</v>
      </c>
      <c r="C5" s="8" t="n">
        <v>655</v>
      </c>
      <c r="D5" s="8" t="n">
        <v>617</v>
      </c>
      <c r="E5" s="8" t="n">
        <v>657</v>
      </c>
      <c r="F5" s="8" t="n">
        <v>695</v>
      </c>
      <c r="G5" s="8" t="n">
        <v>685</v>
      </c>
      <c r="H5" s="8" t="n">
        <v>666</v>
      </c>
      <c r="I5" s="8" t="n">
        <v>633</v>
      </c>
      <c r="J5" s="8" t="n">
        <v>667</v>
      </c>
      <c r="K5" s="8" t="n">
        <v>799</v>
      </c>
      <c r="L5" s="8" t="n">
        <v>803</v>
      </c>
      <c r="M5" s="8" t="n">
        <v>832</v>
      </c>
      <c r="N5" s="8" t="n">
        <v>863</v>
      </c>
      <c r="O5" s="7" t="n">
        <f aca="false">SUM(B5:G5)</f>
        <v>3904</v>
      </c>
      <c r="P5" s="7" t="n">
        <f aca="false">SUM(H5:J5)</f>
        <v>1966</v>
      </c>
      <c r="Q5" s="7" t="n">
        <f aca="false">SUM(K5:N5)</f>
        <v>3297</v>
      </c>
      <c r="R5" s="9" t="n">
        <f aca="false">SUM(B5:N5)</f>
        <v>9167</v>
      </c>
    </row>
    <row r="6" customFormat="false" ht="15" hidden="false" customHeight="false" outlineLevel="0" collapsed="false">
      <c r="A6" s="7" t="s">
        <v>117</v>
      </c>
      <c r="B6" s="8" t="n">
        <v>617</v>
      </c>
      <c r="C6" s="8" t="n">
        <v>639</v>
      </c>
      <c r="D6" s="8" t="n">
        <v>660</v>
      </c>
      <c r="E6" s="8" t="n">
        <v>607</v>
      </c>
      <c r="F6" s="8" t="n">
        <v>662</v>
      </c>
      <c r="G6" s="8" t="n">
        <v>694</v>
      </c>
      <c r="H6" s="8" t="n">
        <v>671</v>
      </c>
      <c r="I6" s="8" t="n">
        <v>689</v>
      </c>
      <c r="J6" s="8" t="n">
        <v>641</v>
      </c>
      <c r="K6" s="8" t="n">
        <v>812</v>
      </c>
      <c r="L6" s="8" t="n">
        <v>797</v>
      </c>
      <c r="M6" s="8" t="n">
        <v>787</v>
      </c>
      <c r="N6" s="8" t="n">
        <v>823</v>
      </c>
      <c r="O6" s="7" t="n">
        <f aca="false">SUM(B6:G6)</f>
        <v>3879</v>
      </c>
      <c r="P6" s="7" t="n">
        <f aca="false">SUM(H6:J6)</f>
        <v>2001</v>
      </c>
      <c r="Q6" s="7" t="n">
        <f aca="false">SUM(K6:N6)</f>
        <v>3219</v>
      </c>
      <c r="R6" s="9" t="n">
        <f aca="false">SUM(B6:N6)</f>
        <v>9099</v>
      </c>
    </row>
    <row r="7" customFormat="false" ht="15" hidden="false" customHeight="false" outlineLevel="0" collapsed="false">
      <c r="A7" s="7" t="s">
        <v>118</v>
      </c>
      <c r="B7" s="8" t="n">
        <v>609</v>
      </c>
      <c r="C7" s="8" t="n">
        <v>642</v>
      </c>
      <c r="D7" s="8" t="n">
        <v>644</v>
      </c>
      <c r="E7" s="8" t="n">
        <v>661</v>
      </c>
      <c r="F7" s="8" t="n">
        <v>614</v>
      </c>
      <c r="G7" s="8" t="n">
        <v>658</v>
      </c>
      <c r="H7" s="8" t="n">
        <v>673</v>
      </c>
      <c r="I7" s="8" t="n">
        <v>686</v>
      </c>
      <c r="J7" s="8" t="n">
        <v>692</v>
      </c>
      <c r="K7" s="8" t="n">
        <v>819</v>
      </c>
      <c r="L7" s="8" t="n">
        <v>810</v>
      </c>
      <c r="M7" s="8" t="n">
        <v>787</v>
      </c>
      <c r="N7" s="8" t="n">
        <v>801</v>
      </c>
      <c r="O7" s="7" t="n">
        <f aca="false">SUM(B7:G7)</f>
        <v>3828</v>
      </c>
      <c r="P7" s="7" t="n">
        <f aca="false">SUM(H7:J7)</f>
        <v>2051</v>
      </c>
      <c r="Q7" s="7" t="n">
        <f aca="false">SUM(K7:N7)</f>
        <v>3217</v>
      </c>
      <c r="R7" s="9" t="n">
        <f aca="false">SUM(B7:N7)</f>
        <v>9096</v>
      </c>
    </row>
    <row r="8" customFormat="false" ht="15" hidden="false" customHeight="false" outlineLevel="0" collapsed="false">
      <c r="A8" s="7" t="s">
        <v>119</v>
      </c>
      <c r="B8" s="8" t="n">
        <v>637</v>
      </c>
      <c r="C8" s="8" t="n">
        <v>645</v>
      </c>
      <c r="D8" s="8" t="n">
        <v>658</v>
      </c>
      <c r="E8" s="8" t="n">
        <v>660</v>
      </c>
      <c r="F8" s="8" t="n">
        <v>681</v>
      </c>
      <c r="G8" s="8" t="n">
        <v>642</v>
      </c>
      <c r="H8" s="8" t="n">
        <v>664</v>
      </c>
      <c r="I8" s="8" t="n">
        <v>693</v>
      </c>
      <c r="J8" s="8" t="n">
        <v>687</v>
      </c>
      <c r="K8" s="8" t="n">
        <v>835</v>
      </c>
      <c r="L8" s="8" t="n">
        <v>810</v>
      </c>
      <c r="M8" s="8" t="n">
        <v>760</v>
      </c>
      <c r="N8" s="8" t="n">
        <v>790</v>
      </c>
      <c r="O8" s="7" t="n">
        <f aca="false">SUM(B8:G8)</f>
        <v>3923</v>
      </c>
      <c r="P8" s="7" t="n">
        <f aca="false">SUM(H8:J8)</f>
        <v>2044</v>
      </c>
      <c r="Q8" s="7" t="n">
        <f aca="false">SUM(K8:N8)</f>
        <v>3195</v>
      </c>
      <c r="R8" s="9" t="n">
        <f aca="false">SUM(B8:N8)</f>
        <v>9162</v>
      </c>
    </row>
    <row r="9" customFormat="false" ht="15" hidden="false" customHeight="false" outlineLevel="0" collapsed="false">
      <c r="A9" s="7" t="s">
        <v>120</v>
      </c>
      <c r="B9" s="8" t="n">
        <v>621</v>
      </c>
      <c r="C9" s="8" t="n">
        <v>685</v>
      </c>
      <c r="D9" s="8" t="n">
        <v>651</v>
      </c>
      <c r="E9" s="8" t="n">
        <v>669</v>
      </c>
      <c r="F9" s="8" t="n">
        <v>665</v>
      </c>
      <c r="G9" s="8" t="n">
        <v>687</v>
      </c>
      <c r="H9" s="8" t="n">
        <v>634</v>
      </c>
      <c r="I9" s="8" t="n">
        <v>684</v>
      </c>
      <c r="J9" s="8" t="n">
        <v>695</v>
      </c>
      <c r="K9" s="8" t="n">
        <v>835</v>
      </c>
      <c r="L9" s="8" t="n">
        <v>852</v>
      </c>
      <c r="M9" s="8" t="n">
        <v>770</v>
      </c>
      <c r="N9" s="8" t="n">
        <v>778</v>
      </c>
      <c r="O9" s="7" t="n">
        <f aca="false">SUM(B9:G9)</f>
        <v>3978</v>
      </c>
      <c r="P9" s="7" t="n">
        <f aca="false">SUM(H9:J9)</f>
        <v>2013</v>
      </c>
      <c r="Q9" s="7" t="n">
        <f aca="false">SUM(K9:N9)</f>
        <v>3235</v>
      </c>
      <c r="R9" s="9" t="n">
        <f aca="false">SUM(B9:N9)</f>
        <v>9226</v>
      </c>
    </row>
    <row r="10" customFormat="false" ht="15" hidden="false" customHeight="false" outlineLevel="0" collapsed="false">
      <c r="A10" s="7" t="s">
        <v>121</v>
      </c>
      <c r="B10" s="8" t="n">
        <v>664</v>
      </c>
      <c r="C10" s="8" t="n">
        <v>673</v>
      </c>
      <c r="D10" s="8" t="n">
        <v>698</v>
      </c>
      <c r="E10" s="8" t="n">
        <v>677</v>
      </c>
      <c r="F10" s="8" t="n">
        <v>691</v>
      </c>
      <c r="G10" s="8" t="n">
        <v>691</v>
      </c>
      <c r="H10" s="8" t="n">
        <v>682</v>
      </c>
      <c r="I10" s="8" t="n">
        <v>650</v>
      </c>
      <c r="J10" s="8" t="n">
        <v>710</v>
      </c>
      <c r="K10" s="8" t="n">
        <v>870</v>
      </c>
      <c r="L10" s="8" t="n">
        <v>827</v>
      </c>
      <c r="M10" s="8" t="n">
        <v>799</v>
      </c>
      <c r="N10" s="8" t="n">
        <v>787</v>
      </c>
      <c r="O10" s="7" t="n">
        <f aca="false">SUM(B10:G10)</f>
        <v>4094</v>
      </c>
      <c r="P10" s="7" t="n">
        <f aca="false">SUM(H10:J10)</f>
        <v>2042</v>
      </c>
      <c r="Q10" s="7" t="n">
        <f aca="false">SUM(K10:N10)</f>
        <v>3283</v>
      </c>
      <c r="R10" s="9" t="n">
        <f aca="false">SUM(B10:N10)</f>
        <v>9419</v>
      </c>
    </row>
    <row r="11" customFormat="false" ht="15" hidden="false" customHeight="false" outlineLevel="0" collapsed="false">
      <c r="A11" s="7" t="s">
        <v>122</v>
      </c>
      <c r="B11" s="8" t="n">
        <v>628</v>
      </c>
      <c r="C11" s="8" t="n">
        <v>700</v>
      </c>
      <c r="D11" s="8" t="n">
        <v>719</v>
      </c>
      <c r="E11" s="8" t="n">
        <v>705</v>
      </c>
      <c r="F11" s="8" t="n">
        <v>716</v>
      </c>
      <c r="G11" s="8" t="n">
        <v>722</v>
      </c>
      <c r="H11" s="8" t="n">
        <v>705</v>
      </c>
      <c r="I11" s="8" t="n">
        <v>729</v>
      </c>
      <c r="J11" s="8" t="n">
        <v>676</v>
      </c>
      <c r="K11" s="8" t="n">
        <v>914</v>
      </c>
      <c r="L11" s="8" t="n">
        <v>863</v>
      </c>
      <c r="M11" s="8" t="n">
        <v>801</v>
      </c>
      <c r="N11" s="8" t="n">
        <v>788</v>
      </c>
      <c r="O11" s="7" t="n">
        <f aca="false">SUM(B11:G11)</f>
        <v>4190</v>
      </c>
      <c r="P11" s="7" t="n">
        <f aca="false">SUM(H11:J11)</f>
        <v>2110</v>
      </c>
      <c r="Q11" s="7" t="n">
        <f aca="false">SUM(K11:N11)</f>
        <v>3366</v>
      </c>
      <c r="R11" s="9" t="n">
        <f aca="false">SUM(B11:N11)</f>
        <v>9666</v>
      </c>
    </row>
    <row r="12" customFormat="false" ht="15" hidden="false" customHeight="false" outlineLevel="0" collapsed="false">
      <c r="A12" s="7" t="s">
        <v>123</v>
      </c>
      <c r="B12" s="8" t="n">
        <v>635</v>
      </c>
      <c r="C12" s="8" t="n">
        <v>694</v>
      </c>
      <c r="D12" s="8" t="n">
        <v>748</v>
      </c>
      <c r="E12" s="8" t="n">
        <v>716</v>
      </c>
      <c r="F12" s="8" t="n">
        <v>735</v>
      </c>
      <c r="G12" s="8" t="n">
        <v>729</v>
      </c>
      <c r="H12" s="8" t="n">
        <v>733</v>
      </c>
      <c r="I12" s="8" t="n">
        <v>736</v>
      </c>
      <c r="J12" s="8" t="n">
        <v>735</v>
      </c>
      <c r="K12" s="8" t="n">
        <v>837</v>
      </c>
      <c r="L12" s="8" t="n">
        <v>911</v>
      </c>
      <c r="M12" s="8" t="n">
        <v>817</v>
      </c>
      <c r="N12" s="8" t="n">
        <v>795</v>
      </c>
      <c r="O12" s="7" t="n">
        <f aca="false">SUM(B12:G12)</f>
        <v>4257</v>
      </c>
      <c r="P12" s="7" t="n">
        <f aca="false">SUM(H12:J12)</f>
        <v>2204</v>
      </c>
      <c r="Q12" s="7" t="n">
        <f aca="false">SUM(K12:N12)</f>
        <v>3360</v>
      </c>
      <c r="R12" s="9" t="n">
        <f aca="false">SUM(B12:N12)</f>
        <v>9821</v>
      </c>
    </row>
    <row r="13" customFormat="false" ht="15" hidden="false" customHeight="false" outlineLevel="0" collapsed="false">
      <c r="A13" s="7" t="s">
        <v>124</v>
      </c>
      <c r="B13" s="8" t="n">
        <v>685</v>
      </c>
      <c r="C13" s="8" t="n">
        <v>650</v>
      </c>
      <c r="D13" s="8" t="n">
        <v>691</v>
      </c>
      <c r="E13" s="8" t="n">
        <v>766</v>
      </c>
      <c r="F13" s="8" t="n">
        <v>725</v>
      </c>
      <c r="G13" s="8" t="n">
        <v>764</v>
      </c>
      <c r="H13" s="8" t="n">
        <v>710</v>
      </c>
      <c r="I13" s="8" t="n">
        <v>748</v>
      </c>
      <c r="J13" s="8" t="n">
        <v>752</v>
      </c>
      <c r="K13" s="8" t="n">
        <v>881</v>
      </c>
      <c r="L13" s="8" t="n">
        <v>844</v>
      </c>
      <c r="M13" s="8" t="n">
        <v>876</v>
      </c>
      <c r="N13" s="8" t="n">
        <v>778</v>
      </c>
      <c r="O13" s="7" t="n">
        <f aca="false">SUM(B13:G13)</f>
        <v>4281</v>
      </c>
      <c r="P13" s="7" t="n">
        <f aca="false">SUM(H13:J13)</f>
        <v>2210</v>
      </c>
      <c r="Q13" s="7" t="n">
        <f aca="false">SUM(K13:N13)</f>
        <v>3379</v>
      </c>
      <c r="R13" s="9" t="n">
        <f aca="false">SUM(B13:N13)</f>
        <v>9870</v>
      </c>
    </row>
    <row r="14" customFormat="false" ht="15" hidden="false" customHeight="false" outlineLevel="0" collapsed="false">
      <c r="A14" s="7" t="s">
        <v>125</v>
      </c>
      <c r="B14" s="8" t="n">
        <v>701</v>
      </c>
      <c r="C14" s="8" t="n">
        <v>737</v>
      </c>
      <c r="D14" s="8" t="n">
        <v>680</v>
      </c>
      <c r="E14" s="8" t="n">
        <v>703</v>
      </c>
      <c r="F14" s="8" t="n">
        <v>772</v>
      </c>
      <c r="G14" s="8" t="n">
        <v>748</v>
      </c>
      <c r="H14" s="8" t="n">
        <v>769</v>
      </c>
      <c r="I14" s="8" t="n">
        <v>729</v>
      </c>
      <c r="J14" s="8" t="n">
        <v>751</v>
      </c>
      <c r="K14" s="8" t="n">
        <v>919</v>
      </c>
      <c r="L14" s="8" t="n">
        <v>889</v>
      </c>
      <c r="M14" s="8" t="n">
        <v>763</v>
      </c>
      <c r="N14" s="8" t="n">
        <v>811</v>
      </c>
      <c r="O14" s="7" t="n">
        <f aca="false">SUM(B14:G14)</f>
        <v>4341</v>
      </c>
      <c r="P14" s="7" t="n">
        <f aca="false">SUM(H14:J14)</f>
        <v>2249</v>
      </c>
      <c r="Q14" s="7" t="n">
        <f aca="false">SUM(K14:N14)</f>
        <v>3382</v>
      </c>
      <c r="R14" s="9" t="n">
        <f aca="false">SUM(B14:N14)</f>
        <v>9972</v>
      </c>
    </row>
    <row r="15" customFormat="false" ht="15" hidden="false" customHeight="false" outlineLevel="0" collapsed="false">
      <c r="A15" s="7" t="s">
        <v>126</v>
      </c>
      <c r="B15" s="8" t="n">
        <v>744</v>
      </c>
      <c r="C15" s="8" t="n">
        <v>699</v>
      </c>
      <c r="D15" s="8" t="n">
        <v>751</v>
      </c>
      <c r="E15" s="8" t="n">
        <v>679</v>
      </c>
      <c r="F15" s="8" t="n">
        <v>713</v>
      </c>
      <c r="G15" s="8" t="n">
        <v>783</v>
      </c>
      <c r="H15" s="8" t="n">
        <v>746</v>
      </c>
      <c r="I15" s="8" t="n">
        <v>757</v>
      </c>
      <c r="J15" s="8" t="n">
        <v>727</v>
      </c>
      <c r="K15" s="8" t="n">
        <v>909</v>
      </c>
      <c r="L15" s="8" t="n">
        <v>904</v>
      </c>
      <c r="M15" s="8" t="n">
        <v>799</v>
      </c>
      <c r="N15" s="8" t="n">
        <v>723</v>
      </c>
      <c r="O15" s="7" t="n">
        <f aca="false">SUM(B15:G15)</f>
        <v>4369</v>
      </c>
      <c r="P15" s="7" t="n">
        <f aca="false">SUM(H15:J15)</f>
        <v>2230</v>
      </c>
      <c r="Q15" s="7" t="n">
        <f aca="false">SUM(K15:N15)</f>
        <v>3335</v>
      </c>
      <c r="R15" s="9" t="n">
        <f aca="false">SUM(B15:N15)</f>
        <v>9934</v>
      </c>
    </row>
    <row r="16" customFormat="false" ht="15" hidden="false" customHeight="false" outlineLevel="0" collapsed="false">
      <c r="A16" s="7" t="s">
        <v>127</v>
      </c>
      <c r="B16" s="8" t="n">
        <v>569</v>
      </c>
      <c r="C16" s="8" t="n">
        <v>694</v>
      </c>
      <c r="D16" s="8" t="n">
        <v>675</v>
      </c>
      <c r="E16" s="8" t="n">
        <v>749</v>
      </c>
      <c r="F16" s="8" t="n">
        <v>651</v>
      </c>
      <c r="G16" s="8" t="n">
        <v>706</v>
      </c>
      <c r="H16" s="8" t="n">
        <v>757</v>
      </c>
      <c r="I16" s="8" t="n">
        <v>733</v>
      </c>
      <c r="J16" s="8" t="n">
        <v>757</v>
      </c>
      <c r="K16" s="8" t="n">
        <v>864</v>
      </c>
      <c r="L16" s="8" t="n">
        <v>908</v>
      </c>
      <c r="M16" s="8" t="n">
        <v>813</v>
      </c>
      <c r="N16" s="8" t="n">
        <v>767</v>
      </c>
      <c r="O16" s="7" t="n">
        <f aca="false">SUM(B16:G16)</f>
        <v>4044</v>
      </c>
      <c r="P16" s="7" t="n">
        <f aca="false">SUM(H16:J16)</f>
        <v>2247</v>
      </c>
      <c r="Q16" s="7" t="n">
        <f aca="false">SUM(K16:N16)</f>
        <v>3352</v>
      </c>
      <c r="R16" s="9" t="n">
        <f aca="false">SUM(B16:N16)</f>
        <v>9643</v>
      </c>
    </row>
    <row r="17" customFormat="false" ht="15" hidden="false" customHeight="false" outlineLevel="0" collapsed="false">
      <c r="A17" s="7" t="s">
        <v>128</v>
      </c>
      <c r="B17" s="8" t="n">
        <v>598</v>
      </c>
      <c r="C17" s="8" t="n">
        <v>611</v>
      </c>
      <c r="D17" s="8" t="n">
        <v>679</v>
      </c>
      <c r="E17" s="8" t="n">
        <v>664</v>
      </c>
      <c r="F17" s="8" t="n">
        <v>732</v>
      </c>
      <c r="G17" s="8" t="n">
        <v>633</v>
      </c>
      <c r="H17" s="8" t="n">
        <v>713</v>
      </c>
      <c r="I17" s="8" t="n">
        <v>757</v>
      </c>
      <c r="J17" s="8" t="n">
        <v>733</v>
      </c>
      <c r="K17" s="8" t="n">
        <v>925</v>
      </c>
      <c r="L17" s="8" t="n">
        <v>845</v>
      </c>
      <c r="M17" s="8" t="n">
        <v>841</v>
      </c>
      <c r="N17" s="8" t="n">
        <v>828</v>
      </c>
      <c r="O17" s="7" t="n">
        <f aca="false">SUM(B17:G17)</f>
        <v>3917</v>
      </c>
      <c r="P17" s="7" t="n">
        <f aca="false">SUM(H17:J17)</f>
        <v>2203</v>
      </c>
      <c r="Q17" s="7" t="n">
        <f aca="false">SUM(K17:N17)</f>
        <v>3439</v>
      </c>
      <c r="R17" s="9" t="n">
        <f aca="false">SUM(B17:N17)</f>
        <v>9559</v>
      </c>
    </row>
    <row r="18" customFormat="false" ht="15" hidden="false" customHeight="false" outlineLevel="0" collapsed="false">
      <c r="A18" s="7" t="s">
        <v>129</v>
      </c>
      <c r="B18" s="8" t="n">
        <v>561</v>
      </c>
      <c r="C18" s="8" t="n">
        <v>631</v>
      </c>
      <c r="D18" s="8" t="n">
        <v>625</v>
      </c>
      <c r="E18" s="8" t="n">
        <v>686</v>
      </c>
      <c r="F18" s="8" t="n">
        <v>670</v>
      </c>
      <c r="G18" s="8" t="n">
        <v>761</v>
      </c>
      <c r="H18" s="8" t="n">
        <v>648</v>
      </c>
      <c r="I18" s="8" t="n">
        <v>722</v>
      </c>
      <c r="J18" s="8" t="n">
        <v>752</v>
      </c>
      <c r="K18" s="8" t="n">
        <v>863</v>
      </c>
      <c r="L18" s="8" t="n">
        <v>900</v>
      </c>
      <c r="M18" s="8" t="n">
        <v>789</v>
      </c>
      <c r="N18" s="8" t="n">
        <v>786</v>
      </c>
      <c r="O18" s="7" t="n">
        <f aca="false">SUM(B18:G18)</f>
        <v>3934</v>
      </c>
      <c r="P18" s="7" t="n">
        <f aca="false">SUM(H18:J18)</f>
        <v>2122</v>
      </c>
      <c r="Q18" s="7" t="n">
        <f aca="false">SUM(K18:N18)</f>
        <v>3338</v>
      </c>
      <c r="R18" s="9" t="n">
        <f aca="false">SUM(B18:N18)</f>
        <v>9394</v>
      </c>
    </row>
    <row r="19" customFormat="false" ht="15" hidden="false" customHeight="false" outlineLevel="0" collapsed="false">
      <c r="A19" s="7" t="s">
        <v>130</v>
      </c>
      <c r="B19" s="8" t="n">
        <v>540</v>
      </c>
      <c r="C19" s="8" t="n">
        <v>611</v>
      </c>
      <c r="D19" s="8" t="n">
        <v>659</v>
      </c>
      <c r="E19" s="8" t="n">
        <v>645</v>
      </c>
      <c r="F19" s="8" t="n">
        <v>698</v>
      </c>
      <c r="G19" s="8" t="n">
        <v>663</v>
      </c>
      <c r="H19" s="8" t="n">
        <v>762</v>
      </c>
      <c r="I19" s="8" t="n">
        <v>702</v>
      </c>
      <c r="J19" s="8" t="n">
        <v>723</v>
      </c>
      <c r="K19" s="8" t="n">
        <v>898</v>
      </c>
      <c r="L19" s="8" t="n">
        <v>889</v>
      </c>
      <c r="M19" s="8" t="n">
        <v>861</v>
      </c>
      <c r="N19" s="8" t="n">
        <v>728</v>
      </c>
      <c r="O19" s="7" t="n">
        <f aca="false">SUM(B19:G19)</f>
        <v>3816</v>
      </c>
      <c r="P19" s="7" t="n">
        <f aca="false">SUM(H19:J19)</f>
        <v>2187</v>
      </c>
      <c r="Q19" s="7" t="n">
        <f aca="false">SUM(K19:N19)</f>
        <v>3376</v>
      </c>
      <c r="R19" s="9" t="n">
        <f aca="false">SUM(B19:N19)</f>
        <v>9379</v>
      </c>
    </row>
    <row r="20" customFormat="false" ht="15" hidden="false" customHeight="false" outlineLevel="0" collapsed="false">
      <c r="A20" s="7" t="s">
        <v>131</v>
      </c>
      <c r="B20" s="8" t="n">
        <v>540</v>
      </c>
      <c r="C20" s="8" t="n">
        <v>601</v>
      </c>
      <c r="D20" s="8" t="n">
        <v>622</v>
      </c>
      <c r="E20" s="8" t="n">
        <v>676</v>
      </c>
      <c r="F20" s="8" t="n">
        <v>674</v>
      </c>
      <c r="G20" s="8" t="n">
        <v>714</v>
      </c>
      <c r="H20" s="8" t="n">
        <v>706</v>
      </c>
      <c r="I20" s="8" t="n">
        <v>762</v>
      </c>
      <c r="J20" s="8" t="n">
        <v>720</v>
      </c>
      <c r="K20" s="8" t="n">
        <v>904</v>
      </c>
      <c r="L20" s="8" t="n">
        <v>916</v>
      </c>
      <c r="M20" s="8" t="n">
        <v>851</v>
      </c>
      <c r="N20" s="8" t="n">
        <v>818</v>
      </c>
      <c r="O20" s="7" t="n">
        <f aca="false">SUM(B20:G20)</f>
        <v>3827</v>
      </c>
      <c r="P20" s="7" t="n">
        <f aca="false">SUM(H20:J20)</f>
        <v>2188</v>
      </c>
      <c r="Q20" s="7" t="n">
        <f aca="false">SUM(K20:N20)</f>
        <v>3489</v>
      </c>
      <c r="R20" s="9" t="n">
        <f aca="false">SUM(B20:N20)</f>
        <v>9504</v>
      </c>
    </row>
    <row r="21" customFormat="false" ht="15" hidden="false" customHeight="false" outlineLevel="0" collapsed="false">
      <c r="A21" s="7" t="s">
        <v>132</v>
      </c>
      <c r="B21" s="8" t="n">
        <v>514</v>
      </c>
      <c r="C21" s="8" t="n">
        <v>554</v>
      </c>
      <c r="D21" s="8" t="n">
        <v>609</v>
      </c>
      <c r="E21" s="8" t="n">
        <v>653</v>
      </c>
      <c r="F21" s="8" t="n">
        <v>687</v>
      </c>
      <c r="G21" s="8" t="n">
        <v>690</v>
      </c>
      <c r="H21" s="8" t="n">
        <v>720</v>
      </c>
      <c r="I21" s="8" t="n">
        <v>716</v>
      </c>
      <c r="J21" s="8" t="n">
        <v>770</v>
      </c>
      <c r="K21" s="8" t="n">
        <v>867</v>
      </c>
      <c r="L21" s="8" t="n">
        <v>916</v>
      </c>
      <c r="M21" s="8" t="n">
        <v>887</v>
      </c>
      <c r="N21" s="8" t="n">
        <v>808</v>
      </c>
      <c r="O21" s="7" t="n">
        <f aca="false">SUM(B21:G21)</f>
        <v>3707</v>
      </c>
      <c r="P21" s="7" t="n">
        <f aca="false">SUM(H21:J21)</f>
        <v>2206</v>
      </c>
      <c r="Q21" s="7" t="n">
        <f aca="false">SUM(K21:N21)</f>
        <v>3478</v>
      </c>
      <c r="R21" s="9" t="n">
        <f aca="false">SUM(B21:N21)</f>
        <v>9391</v>
      </c>
    </row>
    <row r="22" customFormat="false" ht="15" hidden="false" customHeight="false" outlineLevel="0" collapsed="false">
      <c r="A22" s="7" t="s">
        <v>133</v>
      </c>
      <c r="B22" s="8" t="n">
        <v>513</v>
      </c>
      <c r="C22" s="8" t="n">
        <v>551</v>
      </c>
      <c r="D22" s="8" t="n">
        <v>571</v>
      </c>
      <c r="E22" s="8" t="n">
        <v>619</v>
      </c>
      <c r="F22" s="8" t="n">
        <v>665</v>
      </c>
      <c r="G22" s="8" t="n">
        <v>696</v>
      </c>
      <c r="H22" s="8" t="n">
        <v>698</v>
      </c>
      <c r="I22" s="8" t="n">
        <v>741</v>
      </c>
      <c r="J22" s="8" t="n">
        <v>725</v>
      </c>
      <c r="K22" s="8" t="n">
        <v>932</v>
      </c>
      <c r="L22" s="8" t="n">
        <v>863</v>
      </c>
      <c r="M22" s="8" t="n">
        <v>892</v>
      </c>
      <c r="N22" s="8" t="n">
        <v>853</v>
      </c>
      <c r="O22" s="7" t="n">
        <f aca="false">SUM(B22:G22)</f>
        <v>3615</v>
      </c>
      <c r="P22" s="7" t="n">
        <f aca="false">SUM(H22:J22)</f>
        <v>2164</v>
      </c>
      <c r="Q22" s="7" t="n">
        <f aca="false">SUM(K22:N22)</f>
        <v>3540</v>
      </c>
      <c r="R22" s="9" t="n">
        <f aca="false">SUM(B22:N22)</f>
        <v>9319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16" min="2" style="0" width="11"/>
  </cols>
  <sheetData>
    <row r="1" customFormat="false" ht="16.15" hidden="false" customHeight="false" outlineLevel="0" collapsed="false">
      <c r="A1" s="4" t="s">
        <v>146</v>
      </c>
    </row>
    <row r="2" customFormat="false" ht="15" hidden="false" customHeight="false" outlineLevel="0" collapsed="false">
      <c r="A2" s="5" t="s">
        <v>147</v>
      </c>
    </row>
    <row r="4" customFormat="false" ht="26.85" hidden="false" customHeight="false" outlineLevel="0" collapsed="false">
      <c r="A4" s="6" t="s">
        <v>108</v>
      </c>
      <c r="B4" s="6" t="s">
        <v>148</v>
      </c>
      <c r="C4" s="6" t="s">
        <v>149</v>
      </c>
      <c r="D4" s="6" t="s">
        <v>150</v>
      </c>
      <c r="E4" s="6" t="s">
        <v>151</v>
      </c>
      <c r="F4" s="6" t="s">
        <v>152</v>
      </c>
      <c r="G4" s="6" t="s">
        <v>153</v>
      </c>
      <c r="H4" s="6" t="s">
        <v>154</v>
      </c>
      <c r="I4" s="6" t="s">
        <v>155</v>
      </c>
      <c r="J4" s="6" t="s">
        <v>156</v>
      </c>
      <c r="K4" s="6" t="s">
        <v>157</v>
      </c>
      <c r="L4" s="6" t="s">
        <v>158</v>
      </c>
      <c r="M4" s="6" t="s">
        <v>159</v>
      </c>
      <c r="N4" s="6" t="s">
        <v>160</v>
      </c>
      <c r="O4" s="6" t="s">
        <v>161</v>
      </c>
      <c r="P4" s="6" t="s">
        <v>162</v>
      </c>
    </row>
    <row r="5" customFormat="false" ht="15" hidden="false" customHeight="false" outlineLevel="0" collapsed="false">
      <c r="A5" s="7" t="s">
        <v>116</v>
      </c>
      <c r="B5" s="8" t="n">
        <v>396</v>
      </c>
      <c r="C5" s="8" t="n">
        <v>310</v>
      </c>
      <c r="D5" s="8" t="n">
        <v>149</v>
      </c>
      <c r="E5" s="8" t="n">
        <v>496</v>
      </c>
      <c r="F5" s="8" t="n">
        <v>496</v>
      </c>
      <c r="G5" s="8" t="n">
        <v>352</v>
      </c>
      <c r="H5" s="8" t="n">
        <v>409</v>
      </c>
      <c r="I5" s="8" t="n">
        <v>359</v>
      </c>
      <c r="J5" s="8" t="n">
        <v>277</v>
      </c>
      <c r="K5" s="8" t="n">
        <v>278</v>
      </c>
      <c r="L5" s="8" t="n">
        <v>192</v>
      </c>
      <c r="M5" s="7" t="n">
        <f aca="false">SUM(B5:D5)</f>
        <v>855</v>
      </c>
      <c r="N5" s="7" t="n">
        <f aca="false">SUM(E5:L5)</f>
        <v>2859</v>
      </c>
      <c r="O5" s="7" t="n">
        <f aca="false">SUM(B5:L5)</f>
        <v>3714</v>
      </c>
      <c r="P5" s="10" t="n">
        <f aca="false">M5/O5</f>
        <v>0.230210016155089</v>
      </c>
    </row>
    <row r="6" customFormat="false" ht="15" hidden="false" customHeight="false" outlineLevel="0" collapsed="false">
      <c r="A6" s="7" t="s">
        <v>117</v>
      </c>
      <c r="B6" s="8" t="n">
        <v>357</v>
      </c>
      <c r="C6" s="8" t="n">
        <v>277</v>
      </c>
      <c r="D6" s="8" t="n">
        <v>159</v>
      </c>
      <c r="E6" s="8" t="n">
        <v>459</v>
      </c>
      <c r="F6" s="8" t="n">
        <v>484</v>
      </c>
      <c r="G6" s="8" t="n">
        <v>332</v>
      </c>
      <c r="H6" s="8" t="n">
        <v>413</v>
      </c>
      <c r="I6" s="8" t="n">
        <v>388</v>
      </c>
      <c r="J6" s="8" t="n">
        <v>318</v>
      </c>
      <c r="K6" s="8" t="n">
        <v>294</v>
      </c>
      <c r="L6" s="8" t="n">
        <v>179</v>
      </c>
      <c r="M6" s="7" t="n">
        <f aca="false">SUM(B6:D6)</f>
        <v>793</v>
      </c>
      <c r="N6" s="7" t="n">
        <f aca="false">SUM(E6:L6)</f>
        <v>2867</v>
      </c>
      <c r="O6" s="7" t="n">
        <f aca="false">SUM(B6:L6)</f>
        <v>3660</v>
      </c>
      <c r="P6" s="10" t="n">
        <f aca="false">M6/O6</f>
        <v>0.216666666666667</v>
      </c>
    </row>
    <row r="7" customFormat="false" ht="15" hidden="false" customHeight="false" outlineLevel="0" collapsed="false">
      <c r="A7" s="7" t="s">
        <v>118</v>
      </c>
      <c r="B7" s="8" t="n">
        <v>354</v>
      </c>
      <c r="C7" s="8" t="n">
        <v>257</v>
      </c>
      <c r="D7" s="8" t="n">
        <v>160</v>
      </c>
      <c r="E7" s="8" t="n">
        <v>440</v>
      </c>
      <c r="F7" s="8" t="n">
        <v>471</v>
      </c>
      <c r="G7" s="8" t="n">
        <v>327</v>
      </c>
      <c r="H7" s="8" t="n">
        <v>377</v>
      </c>
      <c r="I7" s="8" t="n">
        <v>404</v>
      </c>
      <c r="J7" s="8" t="n">
        <v>315</v>
      </c>
      <c r="K7" s="8" t="n">
        <v>288</v>
      </c>
      <c r="L7" s="8" t="n">
        <v>173</v>
      </c>
      <c r="M7" s="7" t="n">
        <f aca="false">SUM(B7:D7)</f>
        <v>771</v>
      </c>
      <c r="N7" s="7" t="n">
        <f aca="false">SUM(E7:L7)</f>
        <v>2795</v>
      </c>
      <c r="O7" s="7" t="n">
        <f aca="false">SUM(B7:L7)</f>
        <v>3566</v>
      </c>
      <c r="P7" s="10" t="n">
        <f aca="false">M7/O7</f>
        <v>0.216208637128435</v>
      </c>
    </row>
    <row r="8" customFormat="false" ht="15" hidden="false" customHeight="false" outlineLevel="0" collapsed="false">
      <c r="A8" s="7" t="s">
        <v>119</v>
      </c>
      <c r="B8" s="8" t="n">
        <v>358</v>
      </c>
      <c r="C8" s="8" t="n">
        <v>255</v>
      </c>
      <c r="D8" s="8" t="n">
        <v>203</v>
      </c>
      <c r="E8" s="8" t="n">
        <v>481</v>
      </c>
      <c r="F8" s="8" t="n">
        <v>486</v>
      </c>
      <c r="G8" s="8" t="n">
        <v>324</v>
      </c>
      <c r="H8" s="8" t="n">
        <v>394</v>
      </c>
      <c r="I8" s="8" t="n">
        <v>421</v>
      </c>
      <c r="J8" s="8" t="n">
        <v>317</v>
      </c>
      <c r="K8" s="8" t="n">
        <v>290</v>
      </c>
      <c r="L8" s="8" t="n">
        <v>150</v>
      </c>
      <c r="M8" s="7" t="n">
        <f aca="false">SUM(B8:D8)</f>
        <v>816</v>
      </c>
      <c r="N8" s="7" t="n">
        <f aca="false">SUM(E8:L8)</f>
        <v>2863</v>
      </c>
      <c r="O8" s="7" t="n">
        <f aca="false">SUM(B8:L8)</f>
        <v>3679</v>
      </c>
      <c r="P8" s="10" t="n">
        <f aca="false">M8/O8</f>
        <v>0.221799402011416</v>
      </c>
    </row>
    <row r="9" customFormat="false" ht="15" hidden="false" customHeight="false" outlineLevel="0" collapsed="false">
      <c r="A9" s="7" t="s">
        <v>120</v>
      </c>
      <c r="B9" s="8" t="n">
        <v>348</v>
      </c>
      <c r="C9" s="8" t="n">
        <v>267</v>
      </c>
      <c r="D9" s="8" t="n">
        <v>197</v>
      </c>
      <c r="E9" s="8" t="n">
        <v>516</v>
      </c>
      <c r="F9" s="8" t="n">
        <v>514</v>
      </c>
      <c r="G9" s="8" t="n">
        <v>321</v>
      </c>
      <c r="H9" s="8" t="n">
        <v>377</v>
      </c>
      <c r="I9" s="8" t="n">
        <v>440</v>
      </c>
      <c r="J9" s="8" t="n">
        <v>329</v>
      </c>
      <c r="K9" s="8" t="n">
        <v>301</v>
      </c>
      <c r="L9" s="8" t="n">
        <v>139</v>
      </c>
      <c r="M9" s="7" t="n">
        <f aca="false">SUM(B9:D9)</f>
        <v>812</v>
      </c>
      <c r="N9" s="7" t="n">
        <f aca="false">SUM(E9:L9)</f>
        <v>2937</v>
      </c>
      <c r="O9" s="7" t="n">
        <f aca="false">SUM(B9:L9)</f>
        <v>3749</v>
      </c>
      <c r="P9" s="10" t="n">
        <f aca="false">M9/O9</f>
        <v>0.216591090957589</v>
      </c>
    </row>
    <row r="10" customFormat="false" ht="15" hidden="false" customHeight="false" outlineLevel="0" collapsed="false">
      <c r="A10" s="7" t="s">
        <v>121</v>
      </c>
      <c r="B10" s="8" t="n">
        <v>361</v>
      </c>
      <c r="C10" s="8" t="n">
        <v>294</v>
      </c>
      <c r="D10" s="8" t="n">
        <v>244</v>
      </c>
      <c r="E10" s="8" t="n">
        <v>468</v>
      </c>
      <c r="F10" s="8" t="n">
        <v>527</v>
      </c>
      <c r="G10" s="8" t="n">
        <v>317</v>
      </c>
      <c r="H10" s="8" t="n">
        <v>414</v>
      </c>
      <c r="I10" s="8" t="n">
        <v>438</v>
      </c>
      <c r="J10" s="8" t="n">
        <v>325</v>
      </c>
      <c r="K10" s="8" t="n">
        <v>297</v>
      </c>
      <c r="L10" s="8" t="n">
        <v>137</v>
      </c>
      <c r="M10" s="7" t="n">
        <f aca="false">SUM(B10:D10)</f>
        <v>899</v>
      </c>
      <c r="N10" s="7" t="n">
        <f aca="false">SUM(E10:L10)</f>
        <v>2923</v>
      </c>
      <c r="O10" s="7" t="n">
        <f aca="false">SUM(B10:L10)</f>
        <v>3822</v>
      </c>
      <c r="P10" s="10" t="n">
        <f aca="false">M10/O10</f>
        <v>0.235217163788592</v>
      </c>
    </row>
    <row r="11" customFormat="false" ht="15" hidden="false" customHeight="false" outlineLevel="0" collapsed="false">
      <c r="A11" s="7" t="s">
        <v>122</v>
      </c>
      <c r="B11" s="8" t="n">
        <v>346</v>
      </c>
      <c r="C11" s="8" t="n">
        <v>321</v>
      </c>
      <c r="D11" s="8" t="n">
        <v>220</v>
      </c>
      <c r="E11" s="8" t="n">
        <v>467</v>
      </c>
      <c r="F11" s="8" t="n">
        <v>511</v>
      </c>
      <c r="G11" s="8" t="n">
        <v>368</v>
      </c>
      <c r="H11" s="8" t="n">
        <v>405</v>
      </c>
      <c r="I11" s="8" t="n">
        <v>452</v>
      </c>
      <c r="J11" s="8" t="n">
        <v>311</v>
      </c>
      <c r="K11" s="8" t="n">
        <v>289</v>
      </c>
      <c r="L11" s="8" t="n">
        <v>145</v>
      </c>
      <c r="M11" s="7" t="n">
        <f aca="false">SUM(B11:D11)</f>
        <v>887</v>
      </c>
      <c r="N11" s="7" t="n">
        <f aca="false">SUM(E11:L11)</f>
        <v>2948</v>
      </c>
      <c r="O11" s="7" t="n">
        <f aca="false">SUM(B11:L11)</f>
        <v>3835</v>
      </c>
      <c r="P11" s="10" t="n">
        <f aca="false">M11/O11</f>
        <v>0.23129074315515</v>
      </c>
    </row>
    <row r="12" customFormat="false" ht="15" hidden="false" customHeight="false" outlineLevel="0" collapsed="false">
      <c r="A12" s="7" t="s">
        <v>123</v>
      </c>
      <c r="B12" s="8" t="n">
        <v>345</v>
      </c>
      <c r="C12" s="8" t="n">
        <v>337</v>
      </c>
      <c r="D12" s="8" t="n">
        <v>227</v>
      </c>
      <c r="E12" s="8" t="n">
        <v>456</v>
      </c>
      <c r="F12" s="8" t="n">
        <v>527</v>
      </c>
      <c r="G12" s="8" t="n">
        <v>385</v>
      </c>
      <c r="H12" s="8" t="n">
        <v>417</v>
      </c>
      <c r="I12" s="8" t="n">
        <v>450</v>
      </c>
      <c r="J12" s="8" t="n">
        <v>326</v>
      </c>
      <c r="K12" s="8" t="n">
        <v>279</v>
      </c>
      <c r="L12" s="8" t="n">
        <v>145</v>
      </c>
      <c r="M12" s="7" t="n">
        <f aca="false">SUM(B12:D12)</f>
        <v>909</v>
      </c>
      <c r="N12" s="7" t="n">
        <f aca="false">SUM(E12:L12)</f>
        <v>2985</v>
      </c>
      <c r="O12" s="7" t="n">
        <f aca="false">SUM(B12:L12)</f>
        <v>3894</v>
      </c>
      <c r="P12" s="10" t="n">
        <f aca="false">M12/O12</f>
        <v>0.233436055469954</v>
      </c>
    </row>
    <row r="13" customFormat="false" ht="15" hidden="false" customHeight="false" outlineLevel="0" collapsed="false">
      <c r="A13" s="7" t="s">
        <v>124</v>
      </c>
      <c r="B13" s="8" t="n">
        <v>352</v>
      </c>
      <c r="C13" s="8" t="n">
        <v>386</v>
      </c>
      <c r="D13" s="8" t="n">
        <v>234</v>
      </c>
      <c r="E13" s="8" t="n">
        <v>446</v>
      </c>
      <c r="F13" s="8" t="n">
        <v>529</v>
      </c>
      <c r="G13" s="8" t="n">
        <v>358</v>
      </c>
      <c r="H13" s="8" t="n">
        <v>410</v>
      </c>
      <c r="I13" s="8" t="n">
        <v>440</v>
      </c>
      <c r="J13" s="8" t="n">
        <v>302</v>
      </c>
      <c r="K13" s="8" t="n">
        <v>280</v>
      </c>
      <c r="L13" s="8" t="n">
        <v>166</v>
      </c>
      <c r="M13" s="7" t="n">
        <f aca="false">SUM(B13:D13)</f>
        <v>972</v>
      </c>
      <c r="N13" s="7" t="n">
        <f aca="false">SUM(E13:L13)</f>
        <v>2931</v>
      </c>
      <c r="O13" s="7" t="n">
        <f aca="false">SUM(B13:L13)</f>
        <v>3903</v>
      </c>
      <c r="P13" s="10" t="n">
        <f aca="false">M13/O13</f>
        <v>0.249039200614912</v>
      </c>
    </row>
    <row r="14" customFormat="false" ht="15" hidden="false" customHeight="false" outlineLevel="0" collapsed="false">
      <c r="A14" s="7" t="s">
        <v>125</v>
      </c>
      <c r="B14" s="8" t="n">
        <v>354</v>
      </c>
      <c r="C14" s="8" t="n">
        <v>376</v>
      </c>
      <c r="D14" s="8" t="n">
        <v>226</v>
      </c>
      <c r="E14" s="8" t="n">
        <v>463</v>
      </c>
      <c r="F14" s="8" t="n">
        <v>519</v>
      </c>
      <c r="G14" s="8" t="n">
        <v>367</v>
      </c>
      <c r="H14" s="8" t="n">
        <v>404</v>
      </c>
      <c r="I14" s="8" t="n">
        <v>452</v>
      </c>
      <c r="J14" s="8" t="n">
        <v>335</v>
      </c>
      <c r="K14" s="8" t="n">
        <v>289</v>
      </c>
      <c r="L14" s="8" t="n">
        <v>177</v>
      </c>
      <c r="M14" s="7" t="n">
        <f aca="false">SUM(B14:D14)</f>
        <v>956</v>
      </c>
      <c r="N14" s="7" t="n">
        <f aca="false">SUM(E14:L14)</f>
        <v>3006</v>
      </c>
      <c r="O14" s="7" t="n">
        <f aca="false">SUM(B14:L14)</f>
        <v>3962</v>
      </c>
      <c r="P14" s="10" t="n">
        <f aca="false">M14/O14</f>
        <v>0.241292276627966</v>
      </c>
    </row>
    <row r="15" customFormat="false" ht="15" hidden="false" customHeight="false" outlineLevel="0" collapsed="false">
      <c r="A15" s="7" t="s">
        <v>126</v>
      </c>
      <c r="B15" s="8" t="n">
        <v>340</v>
      </c>
      <c r="C15" s="8" t="n">
        <v>365</v>
      </c>
      <c r="D15" s="8" t="n">
        <v>254</v>
      </c>
      <c r="E15" s="8" t="n">
        <v>488</v>
      </c>
      <c r="F15" s="8" t="n">
        <v>524</v>
      </c>
      <c r="G15" s="8" t="n">
        <v>376</v>
      </c>
      <c r="H15" s="8" t="n">
        <v>391</v>
      </c>
      <c r="I15" s="8" t="n">
        <v>454</v>
      </c>
      <c r="J15" s="8" t="n">
        <v>362</v>
      </c>
      <c r="K15" s="8" t="n">
        <v>284</v>
      </c>
      <c r="L15" s="8" t="n">
        <v>193</v>
      </c>
      <c r="M15" s="7" t="n">
        <f aca="false">SUM(B15:D15)</f>
        <v>959</v>
      </c>
      <c r="N15" s="7" t="n">
        <f aca="false">SUM(E15:L15)</f>
        <v>3072</v>
      </c>
      <c r="O15" s="7" t="n">
        <f aca="false">SUM(B15:L15)</f>
        <v>4031</v>
      </c>
      <c r="P15" s="10" t="n">
        <f aca="false">M15/O15</f>
        <v>0.237906226742744</v>
      </c>
    </row>
    <row r="16" customFormat="false" ht="15" hidden="false" customHeight="false" outlineLevel="0" collapsed="false">
      <c r="A16" s="7" t="s">
        <v>127</v>
      </c>
      <c r="B16" s="8" t="n">
        <v>317</v>
      </c>
      <c r="C16" s="8" t="n">
        <v>349</v>
      </c>
      <c r="D16" s="8" t="n">
        <v>250</v>
      </c>
      <c r="E16" s="8" t="n">
        <v>464</v>
      </c>
      <c r="F16" s="8" t="n">
        <v>485</v>
      </c>
      <c r="G16" s="8" t="n">
        <v>328</v>
      </c>
      <c r="H16" s="8" t="n">
        <v>362</v>
      </c>
      <c r="I16" s="8" t="n">
        <v>394</v>
      </c>
      <c r="J16" s="8" t="n">
        <v>329</v>
      </c>
      <c r="K16" s="8" t="n">
        <v>273</v>
      </c>
      <c r="L16" s="8" t="n">
        <v>185</v>
      </c>
      <c r="M16" s="7" t="n">
        <f aca="false">SUM(B16:D16)</f>
        <v>916</v>
      </c>
      <c r="N16" s="7" t="n">
        <f aca="false">SUM(E16:L16)</f>
        <v>2820</v>
      </c>
      <c r="O16" s="7" t="n">
        <f aca="false">SUM(B16:L16)</f>
        <v>3736</v>
      </c>
      <c r="P16" s="10" t="n">
        <f aca="false">M16/O16</f>
        <v>0.245182012847966</v>
      </c>
    </row>
    <row r="17" customFormat="false" ht="15" hidden="false" customHeight="false" outlineLevel="0" collapsed="false">
      <c r="A17" s="7" t="s">
        <v>128</v>
      </c>
      <c r="B17" s="8" t="n">
        <v>267</v>
      </c>
      <c r="C17" s="8" t="n">
        <v>321</v>
      </c>
      <c r="D17" s="8" t="n">
        <v>208</v>
      </c>
      <c r="E17" s="8" t="n">
        <v>424</v>
      </c>
      <c r="F17" s="8" t="n">
        <v>454</v>
      </c>
      <c r="G17" s="8" t="n">
        <v>278</v>
      </c>
      <c r="H17" s="8" t="n">
        <v>358</v>
      </c>
      <c r="I17" s="8" t="n">
        <v>380</v>
      </c>
      <c r="J17" s="8" t="n">
        <v>366</v>
      </c>
      <c r="K17" s="8" t="n">
        <v>242</v>
      </c>
      <c r="L17" s="8" t="n">
        <v>181</v>
      </c>
      <c r="M17" s="7" t="n">
        <f aca="false">SUM(B17:D17)</f>
        <v>796</v>
      </c>
      <c r="N17" s="7" t="n">
        <f aca="false">SUM(E17:L17)</f>
        <v>2683</v>
      </c>
      <c r="O17" s="7" t="n">
        <f aca="false">SUM(B17:L17)</f>
        <v>3479</v>
      </c>
      <c r="P17" s="10" t="n">
        <f aca="false">M17/O17</f>
        <v>0.228801379706812</v>
      </c>
    </row>
    <row r="18" customFormat="false" ht="15" hidden="false" customHeight="false" outlineLevel="0" collapsed="false">
      <c r="A18" s="7" t="s">
        <v>129</v>
      </c>
      <c r="B18" s="8" t="n">
        <v>273</v>
      </c>
      <c r="C18" s="8" t="n">
        <v>319</v>
      </c>
      <c r="D18" s="8" t="n">
        <v>197</v>
      </c>
      <c r="E18" s="8" t="n">
        <v>458</v>
      </c>
      <c r="F18" s="8" t="n">
        <v>475</v>
      </c>
      <c r="G18" s="8" t="n">
        <v>294</v>
      </c>
      <c r="H18" s="8" t="n">
        <v>382</v>
      </c>
      <c r="I18" s="8" t="n">
        <v>384</v>
      </c>
      <c r="J18" s="8" t="n">
        <v>407</v>
      </c>
      <c r="K18" s="8" t="n">
        <v>269</v>
      </c>
      <c r="L18" s="8" t="n">
        <v>180</v>
      </c>
      <c r="M18" s="7" t="n">
        <f aca="false">SUM(B18:D18)</f>
        <v>789</v>
      </c>
      <c r="N18" s="7" t="n">
        <f aca="false">SUM(E18:L18)</f>
        <v>2849</v>
      </c>
      <c r="O18" s="7" t="n">
        <f aca="false">SUM(B18:L18)</f>
        <v>3638</v>
      </c>
      <c r="P18" s="10" t="n">
        <f aca="false">M18/O18</f>
        <v>0.216877405167675</v>
      </c>
    </row>
    <row r="19" customFormat="false" ht="15" hidden="false" customHeight="false" outlineLevel="0" collapsed="false">
      <c r="A19" s="7" t="s">
        <v>130</v>
      </c>
      <c r="B19" s="8" t="n">
        <v>271</v>
      </c>
      <c r="C19" s="8" t="n">
        <v>296</v>
      </c>
      <c r="D19" s="8" t="n">
        <v>170</v>
      </c>
      <c r="E19" s="8" t="n">
        <v>410</v>
      </c>
      <c r="F19" s="8" t="n">
        <v>447</v>
      </c>
      <c r="G19" s="8" t="n">
        <v>305</v>
      </c>
      <c r="H19" s="8" t="n">
        <v>354</v>
      </c>
      <c r="I19" s="8" t="n">
        <v>365</v>
      </c>
      <c r="J19" s="8" t="n">
        <v>389</v>
      </c>
      <c r="K19" s="8" t="n">
        <v>281</v>
      </c>
      <c r="L19" s="8" t="n">
        <v>171</v>
      </c>
      <c r="M19" s="7" t="n">
        <f aca="false">SUM(B19:D19)</f>
        <v>737</v>
      </c>
      <c r="N19" s="7" t="n">
        <f aca="false">SUM(E19:L19)</f>
        <v>2722</v>
      </c>
      <c r="O19" s="7" t="n">
        <f aca="false">SUM(B19:L19)</f>
        <v>3459</v>
      </c>
      <c r="P19" s="10" t="n">
        <f aca="false">M19/O19</f>
        <v>0.213067360508818</v>
      </c>
    </row>
    <row r="20" customFormat="false" ht="15" hidden="false" customHeight="false" outlineLevel="0" collapsed="false">
      <c r="A20" s="7" t="s">
        <v>131</v>
      </c>
      <c r="B20" s="8" t="n">
        <v>274</v>
      </c>
      <c r="C20" s="8" t="n">
        <v>301</v>
      </c>
      <c r="D20" s="8" t="n">
        <v>193</v>
      </c>
      <c r="E20" s="8" t="n">
        <v>381</v>
      </c>
      <c r="F20" s="8" t="n">
        <v>434</v>
      </c>
      <c r="G20" s="8" t="n">
        <v>283</v>
      </c>
      <c r="H20" s="8" t="n">
        <v>345</v>
      </c>
      <c r="I20" s="8" t="n">
        <v>379</v>
      </c>
      <c r="J20" s="8" t="n">
        <v>376</v>
      </c>
      <c r="K20" s="8" t="n">
        <v>301</v>
      </c>
      <c r="L20" s="8" t="n">
        <v>179</v>
      </c>
      <c r="M20" s="7" t="n">
        <f aca="false">SUM(B20:D20)</f>
        <v>768</v>
      </c>
      <c r="N20" s="7" t="n">
        <f aca="false">SUM(E20:L20)</f>
        <v>2678</v>
      </c>
      <c r="O20" s="7" t="n">
        <f aca="false">SUM(B20:L20)</f>
        <v>3446</v>
      </c>
      <c r="P20" s="10" t="n">
        <f aca="false">M20/O20</f>
        <v>0.222867092280905</v>
      </c>
    </row>
    <row r="21" customFormat="false" ht="15" hidden="false" customHeight="false" outlineLevel="0" collapsed="false">
      <c r="A21" s="7" t="s">
        <v>132</v>
      </c>
      <c r="B21" s="8" t="n">
        <v>278</v>
      </c>
      <c r="C21" s="8" t="n">
        <v>310</v>
      </c>
      <c r="D21" s="8" t="n">
        <v>174</v>
      </c>
      <c r="E21" s="8" t="n">
        <v>340</v>
      </c>
      <c r="F21" s="8" t="n">
        <v>399</v>
      </c>
      <c r="G21" s="8" t="n">
        <v>266</v>
      </c>
      <c r="H21" s="8" t="n">
        <v>328</v>
      </c>
      <c r="I21" s="8" t="n">
        <v>393</v>
      </c>
      <c r="J21" s="8" t="n">
        <v>392</v>
      </c>
      <c r="K21" s="8" t="n">
        <v>299</v>
      </c>
      <c r="L21" s="8" t="n">
        <v>169</v>
      </c>
      <c r="M21" s="7" t="n">
        <f aca="false">SUM(B21:D21)</f>
        <v>762</v>
      </c>
      <c r="N21" s="7" t="n">
        <f aca="false">SUM(E21:L21)</f>
        <v>2586</v>
      </c>
      <c r="O21" s="7" t="n">
        <f aca="false">SUM(B21:L21)</f>
        <v>3348</v>
      </c>
      <c r="P21" s="10" t="n">
        <f aca="false">M21/O21</f>
        <v>0.227598566308244</v>
      </c>
    </row>
    <row r="22" customFormat="false" ht="15" hidden="false" customHeight="false" outlineLevel="0" collapsed="false">
      <c r="A22" s="7" t="s">
        <v>133</v>
      </c>
      <c r="B22" s="8" t="n">
        <v>275</v>
      </c>
      <c r="C22" s="8" t="n">
        <v>306</v>
      </c>
      <c r="D22" s="8" t="n">
        <v>160</v>
      </c>
      <c r="E22" s="8" t="n">
        <v>271</v>
      </c>
      <c r="F22" s="8" t="n">
        <v>382</v>
      </c>
      <c r="G22" s="8" t="n">
        <v>271</v>
      </c>
      <c r="H22" s="8" t="n">
        <v>362</v>
      </c>
      <c r="I22" s="8" t="n">
        <v>375</v>
      </c>
      <c r="J22" s="8" t="n">
        <v>382</v>
      </c>
      <c r="K22" s="8" t="n">
        <v>303</v>
      </c>
      <c r="L22" s="8" t="n">
        <v>166</v>
      </c>
      <c r="M22" s="7" t="n">
        <f aca="false">SUM(B22:D22)</f>
        <v>741</v>
      </c>
      <c r="N22" s="7" t="n">
        <f aca="false">SUM(E22:L22)</f>
        <v>2512</v>
      </c>
      <c r="O22" s="7" t="n">
        <f aca="false">SUM(B22:L22)</f>
        <v>3253</v>
      </c>
      <c r="P22" s="10" t="n">
        <f aca="false">M22/O22</f>
        <v>0.227789732554565</v>
      </c>
    </row>
    <row r="24" customFormat="false" ht="15" hidden="false" customHeight="false" outlineLevel="0" collapsed="false">
      <c r="A24" s="11" t="s">
        <v>163</v>
      </c>
      <c r="B24" s="10" t="n">
        <f aca="false">B5/$O$5</f>
        <v>0.106623586429725</v>
      </c>
      <c r="C24" s="10" t="n">
        <f aca="false">C5/$O$5</f>
        <v>0.0834679590737749</v>
      </c>
      <c r="D24" s="10" t="n">
        <f aca="false">D5/$O$5</f>
        <v>0.0401184706515886</v>
      </c>
      <c r="E24" s="10" t="n">
        <f aca="false">E5/$O$5</f>
        <v>0.13354873451804</v>
      </c>
      <c r="F24" s="10" t="n">
        <f aca="false">F5/$O$5</f>
        <v>0.13354873451804</v>
      </c>
      <c r="G24" s="10" t="n">
        <f aca="false">G5/$O$5</f>
        <v>0.094776521270867</v>
      </c>
      <c r="H24" s="10" t="n">
        <f aca="false">H5/$O$5</f>
        <v>0.110123855681206</v>
      </c>
      <c r="I24" s="10" t="n">
        <f aca="false">I5/$O$5</f>
        <v>0.096661281637049</v>
      </c>
      <c r="J24" s="10" t="n">
        <f aca="false">J5/$O$5</f>
        <v>0.0745826602046311</v>
      </c>
      <c r="K24" s="10" t="n">
        <f aca="false">K5/$O$5</f>
        <v>0.0748519116855143</v>
      </c>
      <c r="L24" s="10" t="n">
        <f aca="false">L5/$O$5</f>
        <v>0.0516962843295638</v>
      </c>
      <c r="M24" s="10" t="n">
        <f aca="false">M5/$O$5</f>
        <v>0.230210016155089</v>
      </c>
      <c r="N24" s="10" t="n">
        <f aca="false">N5/$O$5</f>
        <v>0.769789983844911</v>
      </c>
      <c r="O24" s="10" t="n">
        <f aca="false">O5/$O$5</f>
        <v>1</v>
      </c>
    </row>
    <row r="25" customFormat="false" ht="15" hidden="false" customHeight="false" outlineLevel="0" collapsed="false">
      <c r="A25" s="11" t="s">
        <v>164</v>
      </c>
      <c r="B25" s="10" t="n">
        <f aca="false">B22/$O$22</f>
        <v>0.0845373501383338</v>
      </c>
      <c r="C25" s="10" t="n">
        <f aca="false">C22/$O$22</f>
        <v>0.0940670150630188</v>
      </c>
      <c r="D25" s="10" t="n">
        <f aca="false">D22/$O$22</f>
        <v>0.0491853673532124</v>
      </c>
      <c r="E25" s="10" t="n">
        <f aca="false">E22/$O$22</f>
        <v>0.0833077159545035</v>
      </c>
      <c r="F25" s="10" t="n">
        <f aca="false">F22/$O$22</f>
        <v>0.117430064555795</v>
      </c>
      <c r="G25" s="10" t="n">
        <f aca="false">G22/$O$22</f>
        <v>0.0833077159545035</v>
      </c>
      <c r="H25" s="10" t="n">
        <f aca="false">H22/$O$22</f>
        <v>0.111281893636643</v>
      </c>
      <c r="I25" s="10" t="n">
        <f aca="false">I22/$O$22</f>
        <v>0.115278204734092</v>
      </c>
      <c r="J25" s="10" t="n">
        <f aca="false">J22/$O$22</f>
        <v>0.117430064555795</v>
      </c>
      <c r="K25" s="10" t="n">
        <f aca="false">K22/$O$22</f>
        <v>0.093144789425146</v>
      </c>
      <c r="L25" s="10" t="n">
        <f aca="false">L22/$O$22</f>
        <v>0.0510298186289579</v>
      </c>
      <c r="M25" s="10" t="n">
        <f aca="false">M22/$O$22</f>
        <v>0.227789732554565</v>
      </c>
      <c r="N25" s="10" t="n">
        <f aca="false">N22/$O$22</f>
        <v>0.772210267445435</v>
      </c>
      <c r="O25" s="10" t="n">
        <f aca="false">O22/$O$22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6.15" hidden="false" customHeight="false" outlineLevel="0" collapsed="false">
      <c r="A1" s="4" t="s">
        <v>165</v>
      </c>
    </row>
    <row r="2" customFormat="false" ht="15" hidden="false" customHeight="false" outlineLevel="0" collapsed="false">
      <c r="A2" s="5" t="s">
        <v>166</v>
      </c>
    </row>
    <row r="4" customFormat="false" ht="26.85" hidden="false" customHeight="false" outlineLevel="0" collapsed="false">
      <c r="A4" s="6" t="s">
        <v>167</v>
      </c>
      <c r="B4" s="6" t="s">
        <v>168</v>
      </c>
      <c r="C4" s="6" t="s">
        <v>169</v>
      </c>
      <c r="D4" s="6" t="s">
        <v>170</v>
      </c>
    </row>
    <row r="5" customFormat="false" ht="15" hidden="false" customHeight="false" outlineLevel="0" collapsed="false">
      <c r="A5" s="7" t="s">
        <v>171</v>
      </c>
      <c r="B5" s="8" t="n">
        <v>10</v>
      </c>
      <c r="C5" s="12" t="n">
        <v>9188.3</v>
      </c>
      <c r="D5" s="12" t="n">
        <v>9171</v>
      </c>
    </row>
    <row r="6" customFormat="false" ht="15" hidden="false" customHeight="false" outlineLevel="0" collapsed="false">
      <c r="A6" s="7" t="s">
        <v>172</v>
      </c>
      <c r="B6" s="8" t="n">
        <v>10</v>
      </c>
      <c r="C6" s="12" t="n">
        <v>9098.5</v>
      </c>
      <c r="D6" s="12" t="n">
        <v>9100</v>
      </c>
    </row>
    <row r="7" customFormat="false" ht="15" hidden="false" customHeight="false" outlineLevel="0" collapsed="false">
      <c r="A7" s="7" t="s">
        <v>173</v>
      </c>
      <c r="B7" s="8" t="n">
        <v>10</v>
      </c>
      <c r="C7" s="12" t="n">
        <v>9079.8</v>
      </c>
      <c r="D7" s="12" t="n">
        <v>9098</v>
      </c>
    </row>
    <row r="8" customFormat="false" ht="15" hidden="false" customHeight="false" outlineLevel="0" collapsed="false">
      <c r="A8" s="7" t="s">
        <v>174</v>
      </c>
      <c r="B8" s="8" t="n">
        <v>10</v>
      </c>
      <c r="C8" s="12" t="n">
        <v>9167.9</v>
      </c>
      <c r="D8" s="12" t="n">
        <v>9164</v>
      </c>
    </row>
    <row r="9" customFormat="false" ht="15" hidden="false" customHeight="false" outlineLevel="0" collapsed="false">
      <c r="A9" s="7" t="s">
        <v>175</v>
      </c>
      <c r="B9" s="8" t="n">
        <v>10</v>
      </c>
      <c r="C9" s="12" t="n">
        <v>9214.5</v>
      </c>
      <c r="D9" s="12" t="n">
        <v>9226</v>
      </c>
    </row>
    <row r="10" customFormat="false" ht="15" hidden="false" customHeight="false" outlineLevel="0" collapsed="false">
      <c r="A10" s="7" t="s">
        <v>176</v>
      </c>
      <c r="B10" s="8" t="n">
        <v>10</v>
      </c>
      <c r="C10" s="12" t="n">
        <v>9438.7</v>
      </c>
      <c r="D10" s="12" t="n">
        <v>9419</v>
      </c>
    </row>
    <row r="11" customFormat="false" ht="15" hidden="false" customHeight="false" outlineLevel="0" collapsed="false">
      <c r="A11" s="7" t="s">
        <v>177</v>
      </c>
      <c r="B11" s="8" t="n">
        <v>10</v>
      </c>
      <c r="C11" s="12" t="n">
        <v>9688.3</v>
      </c>
      <c r="D11" s="12" t="n">
        <v>9666</v>
      </c>
    </row>
    <row r="12" customFormat="false" ht="15" hidden="false" customHeight="false" outlineLevel="0" collapsed="false">
      <c r="A12" s="7" t="s">
        <v>178</v>
      </c>
      <c r="B12" s="8" t="n">
        <v>10</v>
      </c>
      <c r="C12" s="12" t="n">
        <v>9801.8</v>
      </c>
      <c r="D12" s="12" t="n">
        <v>9823</v>
      </c>
    </row>
    <row r="13" customFormat="false" ht="15" hidden="false" customHeight="false" outlineLevel="0" collapsed="false">
      <c r="A13" s="7" t="s">
        <v>179</v>
      </c>
      <c r="B13" s="8" t="n">
        <v>10</v>
      </c>
      <c r="C13" s="12" t="n">
        <v>9938</v>
      </c>
      <c r="D13" s="12" t="n">
        <v>9870</v>
      </c>
    </row>
    <row r="14" customFormat="false" ht="15" hidden="false" customHeight="false" outlineLevel="0" collapsed="false">
      <c r="A14" s="7" t="s">
        <v>180</v>
      </c>
      <c r="B14" s="8" t="n">
        <v>10</v>
      </c>
      <c r="C14" s="12" t="n">
        <v>9948.3</v>
      </c>
      <c r="D14" s="12" t="n">
        <v>9972</v>
      </c>
    </row>
    <row r="15" customFormat="false" ht="15" hidden="false" customHeight="false" outlineLevel="0" collapsed="false">
      <c r="A15" s="7" t="s">
        <v>181</v>
      </c>
      <c r="B15" s="8" t="n">
        <v>10</v>
      </c>
      <c r="C15" s="12" t="n">
        <v>9961.3</v>
      </c>
      <c r="D15" s="12" t="n">
        <v>9936</v>
      </c>
    </row>
    <row r="16" customFormat="false" ht="15" hidden="false" customHeight="false" outlineLevel="0" collapsed="false">
      <c r="A16" s="7" t="s">
        <v>182</v>
      </c>
      <c r="B16" s="8" t="n">
        <v>10</v>
      </c>
      <c r="C16" s="12" t="n">
        <v>9547.6</v>
      </c>
      <c r="D16" s="12" t="n">
        <v>9643</v>
      </c>
    </row>
    <row r="17" customFormat="false" ht="15" hidden="false" customHeight="false" outlineLevel="0" collapsed="false">
      <c r="A17" s="7" t="s">
        <v>183</v>
      </c>
      <c r="B17" s="8" t="n">
        <v>10</v>
      </c>
      <c r="C17" s="12" t="n">
        <v>9520.1</v>
      </c>
      <c r="D17" s="12" t="n">
        <v>9559</v>
      </c>
    </row>
    <row r="18" customFormat="false" ht="15" hidden="false" customHeight="false" outlineLevel="0" collapsed="false">
      <c r="A18" s="7" t="s">
        <v>184</v>
      </c>
      <c r="B18" s="8" t="n">
        <v>10</v>
      </c>
      <c r="C18" s="12" t="n">
        <v>9459.9</v>
      </c>
      <c r="D18" s="12" t="n">
        <v>9394</v>
      </c>
    </row>
    <row r="19" customFormat="false" ht="15" hidden="false" customHeight="false" outlineLevel="0" collapsed="false">
      <c r="A19" s="7" t="s">
        <v>185</v>
      </c>
      <c r="B19" s="8" t="n">
        <v>10</v>
      </c>
      <c r="C19" s="12" t="n">
        <v>9440.4</v>
      </c>
      <c r="D19" s="12" t="n">
        <v>9394</v>
      </c>
    </row>
    <row r="20" customFormat="false" ht="15" hidden="false" customHeight="false" outlineLevel="0" collapsed="false">
      <c r="A20" s="7" t="s">
        <v>186</v>
      </c>
      <c r="B20" s="8" t="n">
        <v>10</v>
      </c>
      <c r="C20" s="12" t="n">
        <v>9539.5</v>
      </c>
      <c r="D20" s="12" t="n">
        <v>9532</v>
      </c>
    </row>
    <row r="21" customFormat="false" ht="15" hidden="false" customHeight="false" outlineLevel="0" collapsed="false">
      <c r="A21" s="7" t="s">
        <v>187</v>
      </c>
      <c r="B21" s="8" t="n">
        <v>10</v>
      </c>
      <c r="C21" s="12" t="n">
        <v>9433.8</v>
      </c>
      <c r="D21" s="12" t="n">
        <v>9423</v>
      </c>
    </row>
    <row r="22" customFormat="false" ht="15" hidden="false" customHeight="false" outlineLevel="0" collapsed="false">
      <c r="A22" s="7" t="s">
        <v>188</v>
      </c>
      <c r="B22" s="8" t="n">
        <v>1</v>
      </c>
      <c r="C22" s="12" t="n">
        <v>9351</v>
      </c>
      <c r="D22" s="12" t="n">
        <v>9351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6"/>
    <col collapsed="false" customWidth="true" hidden="false" outlineLevel="0" max="3" min="3" style="0" width="11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7" min="6" style="0" width="11"/>
    <col collapsed="false" customWidth="true" hidden="false" outlineLevel="0" max="8" min="8" style="0" width="9"/>
    <col collapsed="false" customWidth="true" hidden="false" outlineLevel="0" max="9" min="9" style="0" width="7"/>
    <col collapsed="false" customWidth="true" hidden="false" outlineLevel="0" max="10" min="10" style="0" width="5"/>
    <col collapsed="false" customWidth="true" hidden="false" outlineLevel="0" max="11" min="11" style="0" width="14"/>
  </cols>
  <sheetData>
    <row r="1" customFormat="false" ht="16.15" hidden="false" customHeight="false" outlineLevel="0" collapsed="false">
      <c r="A1" s="4" t="s">
        <v>189</v>
      </c>
    </row>
    <row r="2" customFormat="false" ht="15" hidden="false" customHeight="false" outlineLevel="0" collapsed="false">
      <c r="A2" s="5" t="s">
        <v>190</v>
      </c>
    </row>
    <row r="4" customFormat="false" ht="26.85" hidden="false" customHeight="false" outlineLevel="0" collapsed="false">
      <c r="A4" s="6" t="s">
        <v>191</v>
      </c>
      <c r="B4" s="6" t="s">
        <v>192</v>
      </c>
      <c r="C4" s="6" t="s">
        <v>193</v>
      </c>
      <c r="D4" s="6" t="s">
        <v>194</v>
      </c>
      <c r="E4" s="6" t="s">
        <v>195</v>
      </c>
      <c r="F4" s="6" t="s">
        <v>196</v>
      </c>
      <c r="G4" s="6" t="s">
        <v>197</v>
      </c>
      <c r="H4" s="6" t="s">
        <v>198</v>
      </c>
      <c r="I4" s="6" t="s">
        <v>199</v>
      </c>
      <c r="J4" s="6" t="s">
        <v>200</v>
      </c>
      <c r="K4" s="6" t="s">
        <v>201</v>
      </c>
    </row>
    <row r="5" customFormat="false" ht="15" hidden="false" customHeight="false" outlineLevel="0" collapsed="false">
      <c r="A5" s="7" t="s">
        <v>202</v>
      </c>
      <c r="B5" s="7" t="s">
        <v>203</v>
      </c>
      <c r="C5" s="7" t="s">
        <v>204</v>
      </c>
      <c r="D5" s="7" t="s">
        <v>205</v>
      </c>
      <c r="E5" s="13" t="n">
        <v>8.40000000008979</v>
      </c>
      <c r="F5" s="13" t="n">
        <v>2.55244548936903</v>
      </c>
      <c r="G5" s="13" t="n">
        <v>14.2475545108106</v>
      </c>
      <c r="H5" s="14" t="n">
        <v>0.0100040237996295</v>
      </c>
      <c r="I5" s="15" t="n">
        <v>0.539872521246447</v>
      </c>
      <c r="J5" s="7" t="n">
        <v>11</v>
      </c>
      <c r="K5" s="13" t="n">
        <f aca="false">SLOPE(Data_K5!B5:B15,ROW(Data_K5!B5:B15)-5+2009)</f>
        <v>8.4</v>
      </c>
    </row>
    <row r="6" customFormat="false" ht="15" hidden="false" customHeight="false" outlineLevel="0" collapsed="false">
      <c r="A6" s="7" t="s">
        <v>202</v>
      </c>
      <c r="B6" s="7" t="s">
        <v>203</v>
      </c>
      <c r="C6" s="7" t="s">
        <v>206</v>
      </c>
      <c r="D6" s="7" t="s">
        <v>205</v>
      </c>
      <c r="E6" s="13" t="n">
        <v>-13.071428572876</v>
      </c>
      <c r="F6" s="13" t="n">
        <v>-17.4126236582066</v>
      </c>
      <c r="G6" s="13" t="n">
        <v>-8.73023348754552</v>
      </c>
      <c r="H6" s="14" t="n">
        <v>0.00057528531474114</v>
      </c>
      <c r="I6" s="15" t="n">
        <v>0.922968801675656</v>
      </c>
      <c r="J6" s="7" t="n">
        <v>7</v>
      </c>
      <c r="K6" s="13" t="n">
        <f aca="false">SLOPE(Data_K5!B16:B22,ROW(Data_K5!B16:B22)-16+2020)</f>
        <v>-13.0714285714286</v>
      </c>
    </row>
    <row r="7" customFormat="false" ht="15" hidden="false" customHeight="false" outlineLevel="0" collapsed="false">
      <c r="A7" s="7" t="s">
        <v>202</v>
      </c>
      <c r="B7" s="7" t="s">
        <v>207</v>
      </c>
      <c r="C7" s="7" t="s">
        <v>204</v>
      </c>
      <c r="D7" s="7" t="s">
        <v>205</v>
      </c>
      <c r="E7" s="13" t="n">
        <v>39.2727272731284</v>
      </c>
      <c r="F7" s="13" t="n">
        <v>26.8045376073516</v>
      </c>
      <c r="G7" s="13" t="n">
        <v>51.7409169389052</v>
      </c>
      <c r="H7" s="14" t="n">
        <v>5.51188337707109E-005</v>
      </c>
      <c r="I7" s="15" t="n">
        <v>0.849426824417016</v>
      </c>
      <c r="J7" s="7" t="n">
        <v>11</v>
      </c>
      <c r="K7" s="13" t="n">
        <f aca="false">SLOPE(Data_K5!H5:H15,ROW(Data_K5!H5:H15)-5+2009)</f>
        <v>39.2727272727273</v>
      </c>
    </row>
    <row r="8" customFormat="false" ht="15" hidden="false" customHeight="false" outlineLevel="0" collapsed="false">
      <c r="A8" s="7" t="s">
        <v>202</v>
      </c>
      <c r="B8" s="7" t="s">
        <v>207</v>
      </c>
      <c r="C8" s="7" t="s">
        <v>206</v>
      </c>
      <c r="D8" s="7" t="s">
        <v>205</v>
      </c>
      <c r="E8" s="13" t="n">
        <v>-67.9642857218498</v>
      </c>
      <c r="F8" s="13" t="n">
        <v>-106.654269869958</v>
      </c>
      <c r="G8" s="13" t="n">
        <v>-29.2743015737417</v>
      </c>
      <c r="H8" s="14" t="n">
        <v>0.00630844534845289</v>
      </c>
      <c r="I8" s="15" t="n">
        <v>0.803075736502068</v>
      </c>
      <c r="J8" s="7" t="n">
        <v>7</v>
      </c>
      <c r="K8" s="13" t="n">
        <f aca="false">SLOPE(Data_K5!H16:H22,ROW(Data_K5!H16:H22)-16+2020)</f>
        <v>-67.9642857142857</v>
      </c>
    </row>
    <row r="9" customFormat="false" ht="15" hidden="false" customHeight="false" outlineLevel="0" collapsed="false">
      <c r="A9" s="7" t="s">
        <v>202</v>
      </c>
      <c r="B9" s="7" t="s">
        <v>207</v>
      </c>
      <c r="C9" s="7" t="s">
        <v>208</v>
      </c>
      <c r="D9" s="7" t="s">
        <v>209</v>
      </c>
      <c r="E9" s="13" t="n">
        <v>-20.5593395248967</v>
      </c>
      <c r="F9" s="13" t="n">
        <v>-45.1551044542907</v>
      </c>
      <c r="G9" s="13" t="n">
        <v>4.03642540449719</v>
      </c>
      <c r="H9" s="14" t="n">
        <v>0.0954331405444301</v>
      </c>
      <c r="I9" s="15" t="n">
        <v>0.255045171516652</v>
      </c>
      <c r="J9" s="7" t="n">
        <v>18</v>
      </c>
      <c r="K9" s="13" t="n">
        <f aca="false">SLOPE(Data_K5!H5:H22,ROW(Data_K5!H5:H22)-5+2009)</f>
        <v>-20.5593395252838</v>
      </c>
    </row>
    <row r="10" customFormat="false" ht="15" hidden="false" customHeight="false" outlineLevel="0" collapsed="false">
      <c r="A10" s="7" t="s">
        <v>202</v>
      </c>
      <c r="B10" s="7" t="s">
        <v>210</v>
      </c>
      <c r="C10" s="7" t="s">
        <v>211</v>
      </c>
      <c r="D10" s="7" t="s">
        <v>205</v>
      </c>
      <c r="E10" s="13" t="n">
        <v>-5.7142857140002</v>
      </c>
      <c r="F10" s="13" t="n">
        <v>-25.7480843504972</v>
      </c>
      <c r="G10" s="13" t="n">
        <v>14.3195129224968</v>
      </c>
      <c r="H10" s="14" t="n">
        <v>0.472717046742197</v>
      </c>
      <c r="I10" s="15" t="n">
        <v>0.135538086202251</v>
      </c>
      <c r="J10" s="7" t="n">
        <v>6</v>
      </c>
      <c r="K10" s="13" t="n">
        <f aca="false">SLOPE(Data_K5!E17:E22,ROW(Data_K5!E17:E22)-17+2021)</f>
        <v>-5.71428571428571</v>
      </c>
    </row>
    <row r="11" customFormat="false" ht="15" hidden="false" customHeight="false" outlineLevel="0" collapsed="false">
      <c r="A11" s="7" t="s">
        <v>202</v>
      </c>
      <c r="B11" s="7" t="s">
        <v>212</v>
      </c>
      <c r="C11" s="7" t="s">
        <v>211</v>
      </c>
      <c r="D11" s="7" t="s">
        <v>205</v>
      </c>
      <c r="E11" s="13" t="n">
        <v>-7.17142857107626</v>
      </c>
      <c r="F11" s="13" t="n">
        <v>-16.4245077859259</v>
      </c>
      <c r="G11" s="13" t="n">
        <v>2.08165064377339</v>
      </c>
      <c r="H11" s="14" t="n">
        <v>0.0977803669668108</v>
      </c>
      <c r="I11" s="15" t="n">
        <v>0.536521183734313</v>
      </c>
      <c r="J11" s="7" t="n">
        <v>6</v>
      </c>
      <c r="K11" s="13" t="n">
        <f aca="false">SLOPE(Data_K5!F17:F22,ROW(Data_K5!F17:F22)-17+2021)</f>
        <v>-7.17142857142857</v>
      </c>
    </row>
    <row r="12" customFormat="false" ht="15" hidden="false" customHeight="false" outlineLevel="0" collapsed="false">
      <c r="A12" s="7" t="s">
        <v>202</v>
      </c>
      <c r="B12" s="7" t="s">
        <v>213</v>
      </c>
      <c r="C12" s="7" t="s">
        <v>211</v>
      </c>
      <c r="D12" s="7" t="s">
        <v>205</v>
      </c>
      <c r="E12" s="13" t="n">
        <v>2.97142857132795</v>
      </c>
      <c r="F12" s="13" t="n">
        <v>-32.5578009443336</v>
      </c>
      <c r="G12" s="13" t="n">
        <v>38.5006580869895</v>
      </c>
      <c r="H12" s="14" t="n">
        <v>0.827776403880863</v>
      </c>
      <c r="I12" s="15" t="n">
        <v>0.0133003229984664</v>
      </c>
      <c r="J12" s="7" t="n">
        <v>6</v>
      </c>
      <c r="K12" s="13" t="n">
        <f aca="false">SLOPE(Data_K5!G17:G22,ROW(Data_K5!G17:G22)-17+2021)</f>
        <v>2.97142857142857</v>
      </c>
    </row>
    <row r="13" customFormat="false" ht="15" hidden="false" customHeight="false" outlineLevel="0" collapsed="false">
      <c r="A13" s="7" t="s">
        <v>38</v>
      </c>
      <c r="B13" s="7" t="s">
        <v>148</v>
      </c>
      <c r="C13" s="7" t="s">
        <v>208</v>
      </c>
      <c r="D13" s="7" t="s">
        <v>209</v>
      </c>
      <c r="E13" s="13" t="n">
        <v>-6.94530443743452</v>
      </c>
      <c r="F13" s="13" t="n">
        <v>-8.64764822440446</v>
      </c>
      <c r="G13" s="13" t="n">
        <v>-5.24296065046458</v>
      </c>
      <c r="H13" s="14" t="n">
        <v>1.98748001571323E-007</v>
      </c>
      <c r="I13" s="15" t="n">
        <v>0.811497561291526</v>
      </c>
      <c r="J13" s="7" t="n">
        <v>18</v>
      </c>
      <c r="K13" s="13" t="n">
        <f aca="false">SLOPE(Data_Schools!B5:B22,ROW(Data_Schools!B5:B22)-5+2009)</f>
        <v>-6.9453044375645</v>
      </c>
    </row>
    <row r="14" customFormat="false" ht="15" hidden="false" customHeight="false" outlineLevel="0" collapsed="false">
      <c r="A14" s="7" t="s">
        <v>38</v>
      </c>
      <c r="B14" s="7" t="s">
        <v>148</v>
      </c>
      <c r="C14" s="7" t="s">
        <v>214</v>
      </c>
      <c r="D14" s="7" t="s">
        <v>205</v>
      </c>
      <c r="E14" s="13" t="n">
        <v>-7.51190476153053</v>
      </c>
      <c r="F14" s="13" t="n">
        <v>-15.3486788419097</v>
      </c>
      <c r="G14" s="13" t="n">
        <v>0.324869318848671</v>
      </c>
      <c r="H14" s="14" t="n">
        <v>0.057412380251339</v>
      </c>
      <c r="I14" s="15" t="n">
        <v>0.478318010521131</v>
      </c>
      <c r="J14" s="7" t="n">
        <v>8</v>
      </c>
      <c r="K14" s="13" t="n">
        <f aca="false">SLOPE(Data_Schools!B15:B22,ROW(Data_Schools!B15:B22)-15+2019)</f>
        <v>-7.51190476190476</v>
      </c>
    </row>
    <row r="15" customFormat="false" ht="15" hidden="false" customHeight="false" outlineLevel="0" collapsed="false">
      <c r="A15" s="7" t="s">
        <v>38</v>
      </c>
      <c r="B15" s="7" t="s">
        <v>149</v>
      </c>
      <c r="C15" s="7" t="s">
        <v>208</v>
      </c>
      <c r="D15" s="7" t="s">
        <v>209</v>
      </c>
      <c r="E15" s="13" t="n">
        <v>2.39525283793284</v>
      </c>
      <c r="F15" s="13" t="n">
        <v>-1.67003825764837</v>
      </c>
      <c r="G15" s="13" t="n">
        <v>6.46054393351404</v>
      </c>
      <c r="H15" s="14" t="n">
        <v>0.229616258651257</v>
      </c>
      <c r="I15" s="15" t="n">
        <v>0.112077030238872</v>
      </c>
      <c r="J15" s="7" t="n">
        <v>18</v>
      </c>
      <c r="K15" s="13" t="n">
        <f aca="false">SLOPE(Data_Schools!C5:C22,ROW(Data_Schools!C5:C22)-5+2009)</f>
        <v>2.3952528379773</v>
      </c>
    </row>
    <row r="16" customFormat="false" ht="15" hidden="false" customHeight="false" outlineLevel="0" collapsed="false">
      <c r="A16" s="7" t="s">
        <v>38</v>
      </c>
      <c r="B16" s="7" t="s">
        <v>149</v>
      </c>
      <c r="C16" s="7" t="s">
        <v>214</v>
      </c>
      <c r="D16" s="7" t="s">
        <v>205</v>
      </c>
      <c r="E16" s="13" t="n">
        <v>-8.22619047578042</v>
      </c>
      <c r="F16" s="13" t="n">
        <v>-13.6818358483016</v>
      </c>
      <c r="G16" s="13" t="n">
        <v>-2.77054510325925</v>
      </c>
      <c r="H16" s="14" t="n">
        <v>0.0102144367486953</v>
      </c>
      <c r="I16" s="15" t="n">
        <v>0.694074619988095</v>
      </c>
      <c r="J16" s="7" t="n">
        <v>8</v>
      </c>
      <c r="K16" s="13" t="n">
        <f aca="false">SLOPE(Data_Schools!C15:C22,ROW(Data_Schools!C15:C22)-15+2019)</f>
        <v>-8.22619047619048</v>
      </c>
    </row>
    <row r="17" customFormat="false" ht="15" hidden="false" customHeight="false" outlineLevel="0" collapsed="false">
      <c r="A17" s="7" t="s">
        <v>38</v>
      </c>
      <c r="B17" s="7" t="s">
        <v>150</v>
      </c>
      <c r="C17" s="7" t="s">
        <v>208</v>
      </c>
      <c r="D17" s="7" t="s">
        <v>209</v>
      </c>
      <c r="E17" s="13" t="n">
        <v>0.463364293077175</v>
      </c>
      <c r="F17" s="13" t="n">
        <v>-4.55944221071348</v>
      </c>
      <c r="G17" s="13" t="n">
        <v>5.48617079686783</v>
      </c>
      <c r="H17" s="14" t="n">
        <v>0.847412175986333</v>
      </c>
      <c r="I17" s="15" t="n">
        <v>0.00534112754935234</v>
      </c>
      <c r="J17" s="7" t="n">
        <v>18</v>
      </c>
      <c r="K17" s="13" t="n">
        <f aca="false">SLOPE(Data_Schools!D5:D22,ROW(Data_Schools!D5:D22)-5+2009)</f>
        <v>0.463364293085655</v>
      </c>
    </row>
    <row r="18" customFormat="false" ht="15" hidden="false" customHeight="false" outlineLevel="0" collapsed="false">
      <c r="A18" s="7" t="s">
        <v>38</v>
      </c>
      <c r="B18" s="7" t="s">
        <v>150</v>
      </c>
      <c r="C18" s="7" t="s">
        <v>214</v>
      </c>
      <c r="D18" s="7" t="s">
        <v>205</v>
      </c>
      <c r="E18" s="13" t="n">
        <v>-13.2142857136382</v>
      </c>
      <c r="F18" s="13" t="n">
        <v>-18.931172967551</v>
      </c>
      <c r="G18" s="13" t="n">
        <v>-7.49739845972543</v>
      </c>
      <c r="H18" s="14" t="n">
        <v>0.00131186461526253</v>
      </c>
      <c r="I18" s="15" t="n">
        <v>0.842060803884091</v>
      </c>
      <c r="J18" s="7" t="n">
        <v>8</v>
      </c>
      <c r="K18" s="13" t="n">
        <f aca="false">SLOPE(Data_Schools!D15:D22,ROW(Data_Schools!D15:D22)-15+2019)</f>
        <v>-13.2142857142857</v>
      </c>
    </row>
    <row r="19" customFormat="false" ht="15" hidden="false" customHeight="false" outlineLevel="0" collapsed="false">
      <c r="A19" s="7" t="s">
        <v>38</v>
      </c>
      <c r="B19" s="7" t="s">
        <v>151</v>
      </c>
      <c r="C19" s="7" t="s">
        <v>208</v>
      </c>
      <c r="D19" s="7" t="s">
        <v>209</v>
      </c>
      <c r="E19" s="13" t="n">
        <v>-8.14241486052869</v>
      </c>
      <c r="F19" s="13" t="n">
        <v>-14.364008221591</v>
      </c>
      <c r="G19" s="13" t="n">
        <v>-1.92082149946637</v>
      </c>
      <c r="H19" s="14" t="n">
        <v>0.0135372916440023</v>
      </c>
      <c r="I19" s="15" t="n">
        <v>0.53817624628798</v>
      </c>
      <c r="J19" s="7" t="n">
        <v>18</v>
      </c>
      <c r="K19" s="13" t="n">
        <f aca="false">SLOPE(Data_Schools!E5:E22,ROW(Data_Schools!E5:E22)-5+2009)</f>
        <v>-8.14241486068111</v>
      </c>
    </row>
    <row r="20" customFormat="false" ht="15" hidden="false" customHeight="false" outlineLevel="0" collapsed="false">
      <c r="A20" s="7" t="s">
        <v>38</v>
      </c>
      <c r="B20" s="7" t="s">
        <v>151</v>
      </c>
      <c r="C20" s="7" t="s">
        <v>214</v>
      </c>
      <c r="D20" s="7" t="s">
        <v>205</v>
      </c>
      <c r="E20" s="13" t="n">
        <v>-27.571428570078</v>
      </c>
      <c r="F20" s="13" t="n">
        <v>-37.7870160080635</v>
      </c>
      <c r="G20" s="13" t="n">
        <v>-17.3558411320926</v>
      </c>
      <c r="H20" s="14" t="n">
        <v>0.000579744666593291</v>
      </c>
      <c r="I20" s="15" t="n">
        <v>0.879067023285087</v>
      </c>
      <c r="J20" s="7" t="n">
        <v>8</v>
      </c>
      <c r="K20" s="13" t="n">
        <f aca="false">SLOPE(Data_Schools!E15:E22,ROW(Data_Schools!E15:E22)-15+2019)</f>
        <v>-27.5714285714286</v>
      </c>
    </row>
    <row r="21" customFormat="false" ht="15" hidden="false" customHeight="false" outlineLevel="0" collapsed="false">
      <c r="A21" s="7" t="s">
        <v>38</v>
      </c>
      <c r="B21" s="7" t="s">
        <v>152</v>
      </c>
      <c r="C21" s="7" t="s">
        <v>208</v>
      </c>
      <c r="D21" s="7" t="s">
        <v>209</v>
      </c>
      <c r="E21" s="13" t="n">
        <v>-5.29824561393573</v>
      </c>
      <c r="F21" s="13" t="n">
        <v>-10.3590524025083</v>
      </c>
      <c r="G21" s="13" t="n">
        <v>-0.237438825363163</v>
      </c>
      <c r="H21" s="14" t="n">
        <v>0.041265022939082</v>
      </c>
      <c r="I21" s="15" t="n">
        <v>0.414071621848259</v>
      </c>
      <c r="J21" s="7" t="n">
        <v>18</v>
      </c>
      <c r="K21" s="13" t="n">
        <f aca="false">SLOPE(Data_Schools!F5:F22,ROW(Data_Schools!F5:F22)-5+2009)</f>
        <v>-5.29824561403509</v>
      </c>
    </row>
    <row r="22" customFormat="false" ht="15" hidden="false" customHeight="false" outlineLevel="0" collapsed="false">
      <c r="A22" s="7" t="s">
        <v>38</v>
      </c>
      <c r="B22" s="7" t="s">
        <v>152</v>
      </c>
      <c r="C22" s="7" t="s">
        <v>214</v>
      </c>
      <c r="D22" s="7" t="s">
        <v>205</v>
      </c>
      <c r="E22" s="13" t="n">
        <v>-17.9999999991117</v>
      </c>
      <c r="F22" s="13" t="n">
        <v>-23.3927310675758</v>
      </c>
      <c r="G22" s="13" t="n">
        <v>-12.6072689306477</v>
      </c>
      <c r="H22" s="14" t="n">
        <v>0.000181349221288474</v>
      </c>
      <c r="I22" s="15" t="n">
        <v>0.91747572815534</v>
      </c>
      <c r="J22" s="7" t="n">
        <v>8</v>
      </c>
      <c r="K22" s="13" t="n">
        <f aca="false">SLOPE(Data_Schools!F15:F22,ROW(Data_Schools!F15:F22)-15+2019)</f>
        <v>-18</v>
      </c>
    </row>
    <row r="23" customFormat="false" ht="15" hidden="false" customHeight="false" outlineLevel="0" collapsed="false">
      <c r="A23" s="7" t="s">
        <v>38</v>
      </c>
      <c r="B23" s="7" t="s">
        <v>153</v>
      </c>
      <c r="C23" s="7" t="s">
        <v>208</v>
      </c>
      <c r="D23" s="7" t="s">
        <v>209</v>
      </c>
      <c r="E23" s="13" t="n">
        <v>-4.00619195038931</v>
      </c>
      <c r="F23" s="13" t="n">
        <v>-7.10112925507601</v>
      </c>
      <c r="G23" s="13" t="n">
        <v>-0.911254645702599</v>
      </c>
      <c r="H23" s="14" t="n">
        <v>0.0144083939248639</v>
      </c>
      <c r="I23" s="15" t="n">
        <v>0.330813072826835</v>
      </c>
      <c r="J23" s="7" t="n">
        <v>18</v>
      </c>
      <c r="K23" s="13" t="n">
        <f aca="false">SLOPE(Data_Schools!G5:G22,ROW(Data_Schools!G5:G22)-5+2009)</f>
        <v>-4.0061919504644</v>
      </c>
    </row>
    <row r="24" customFormat="false" ht="15" hidden="false" customHeight="false" outlineLevel="0" collapsed="false">
      <c r="A24" s="7" t="s">
        <v>38</v>
      </c>
      <c r="B24" s="7" t="s">
        <v>153</v>
      </c>
      <c r="C24" s="7" t="s">
        <v>214</v>
      </c>
      <c r="D24" s="7" t="s">
        <v>205</v>
      </c>
      <c r="E24" s="13" t="n">
        <v>-12.1309523803538</v>
      </c>
      <c r="F24" s="13" t="n">
        <v>-20.8643058736921</v>
      </c>
      <c r="G24" s="13" t="n">
        <v>-3.39759888701554</v>
      </c>
      <c r="H24" s="14" t="n">
        <v>0.0145164446199894</v>
      </c>
      <c r="I24" s="15" t="n">
        <v>0.658162337172547</v>
      </c>
      <c r="J24" s="7" t="n">
        <v>8</v>
      </c>
      <c r="K24" s="13" t="n">
        <f aca="false">SLOPE(Data_Schools!G15:G22,ROW(Data_Schools!G15:G22)-15+2019)</f>
        <v>-12.1309523809524</v>
      </c>
    </row>
    <row r="25" customFormat="false" ht="15" hidden="false" customHeight="false" outlineLevel="0" collapsed="false">
      <c r="A25" s="7" t="s">
        <v>38</v>
      </c>
      <c r="B25" s="7" t="s">
        <v>154</v>
      </c>
      <c r="C25" s="7" t="s">
        <v>208</v>
      </c>
      <c r="D25" s="7" t="s">
        <v>209</v>
      </c>
      <c r="E25" s="13" t="n">
        <v>-3.69040247671094</v>
      </c>
      <c r="F25" s="13" t="n">
        <v>-5.54868726739643</v>
      </c>
      <c r="G25" s="13" t="n">
        <v>-1.83211768602545</v>
      </c>
      <c r="H25" s="14" t="n">
        <v>0.000664513363585894</v>
      </c>
      <c r="I25" s="15" t="n">
        <v>0.531341880861324</v>
      </c>
      <c r="J25" s="7" t="n">
        <v>18</v>
      </c>
      <c r="K25" s="13" t="n">
        <f aca="false">SLOPE(Data_Schools!H5:H22,ROW(Data_Schools!H5:H22)-5+2009)</f>
        <v>-3.69040247678019</v>
      </c>
    </row>
    <row r="26" customFormat="false" ht="15" hidden="false" customHeight="false" outlineLevel="0" collapsed="false">
      <c r="A26" s="7" t="s">
        <v>38</v>
      </c>
      <c r="B26" s="7" t="s">
        <v>154</v>
      </c>
      <c r="C26" s="7" t="s">
        <v>214</v>
      </c>
      <c r="D26" s="7" t="s">
        <v>205</v>
      </c>
      <c r="E26" s="13" t="n">
        <v>-5.23809523782861</v>
      </c>
      <c r="F26" s="13" t="n">
        <v>-11.3827327891481</v>
      </c>
      <c r="G26" s="13" t="n">
        <v>0.906542313490884</v>
      </c>
      <c r="H26" s="14" t="n">
        <v>0.0820612414732113</v>
      </c>
      <c r="I26" s="15" t="n">
        <v>0.420346873018755</v>
      </c>
      <c r="J26" s="7" t="n">
        <v>8</v>
      </c>
      <c r="K26" s="13" t="n">
        <f aca="false">SLOPE(Data_Schools!H15:H22,ROW(Data_Schools!H15:H22)-15+2019)</f>
        <v>-5.23809523809524</v>
      </c>
    </row>
    <row r="27" customFormat="false" ht="15" hidden="false" customHeight="false" outlineLevel="0" collapsed="false">
      <c r="A27" s="7" t="s">
        <v>38</v>
      </c>
      <c r="B27" s="7" t="s">
        <v>155</v>
      </c>
      <c r="C27" s="7" t="s">
        <v>208</v>
      </c>
      <c r="D27" s="7" t="s">
        <v>209</v>
      </c>
      <c r="E27" s="13" t="n">
        <v>-1.82662538696245</v>
      </c>
      <c r="F27" s="13" t="n">
        <v>-6.27797949811283</v>
      </c>
      <c r="G27" s="13" t="n">
        <v>2.62472872418794</v>
      </c>
      <c r="H27" s="14" t="n">
        <v>0.397213468272985</v>
      </c>
      <c r="I27" s="15" t="n">
        <v>0.0841346657381236</v>
      </c>
      <c r="J27" s="7" t="n">
        <v>18</v>
      </c>
      <c r="K27" s="13" t="n">
        <f aca="false">SLOPE(Data_Schools!I5:I22,ROW(Data_Schools!I5:I22)-5+2009)</f>
        <v>-1.8266253869969</v>
      </c>
    </row>
    <row r="28" customFormat="false" ht="15" hidden="false" customHeight="false" outlineLevel="0" collapsed="false">
      <c r="A28" s="7" t="s">
        <v>38</v>
      </c>
      <c r="B28" s="7" t="s">
        <v>155</v>
      </c>
      <c r="C28" s="7" t="s">
        <v>214</v>
      </c>
      <c r="D28" s="7" t="s">
        <v>205</v>
      </c>
      <c r="E28" s="13" t="n">
        <v>-6.90476190441343</v>
      </c>
      <c r="F28" s="13" t="n">
        <v>-15.6564112952518</v>
      </c>
      <c r="G28" s="13" t="n">
        <v>1.84688748642491</v>
      </c>
      <c r="H28" s="14" t="n">
        <v>0.101769039247244</v>
      </c>
      <c r="I28" s="15" t="n">
        <v>0.383157472709694</v>
      </c>
      <c r="J28" s="7" t="n">
        <v>8</v>
      </c>
      <c r="K28" s="13" t="n">
        <f aca="false">SLOPE(Data_Schools!I15:I22,ROW(Data_Schools!I15:I22)-15+2019)</f>
        <v>-6.90476190476191</v>
      </c>
    </row>
    <row r="29" customFormat="false" ht="15" hidden="false" customHeight="false" outlineLevel="0" collapsed="false">
      <c r="A29" s="7" t="s">
        <v>38</v>
      </c>
      <c r="B29" s="7" t="s">
        <v>156</v>
      </c>
      <c r="C29" s="7" t="s">
        <v>208</v>
      </c>
      <c r="D29" s="7" t="s">
        <v>209</v>
      </c>
      <c r="E29" s="13" t="n">
        <v>5.88235294106692</v>
      </c>
      <c r="F29" s="13" t="n">
        <v>4.39612766592298</v>
      </c>
      <c r="G29" s="13" t="n">
        <v>7.36857821621085</v>
      </c>
      <c r="H29" s="14" t="n">
        <v>2.97252883917842E-007</v>
      </c>
      <c r="I29" s="15" t="n">
        <v>0.751316341379398</v>
      </c>
      <c r="J29" s="7" t="n">
        <v>18</v>
      </c>
      <c r="K29" s="13" t="n">
        <f aca="false">SLOPE(Data_Schools!J5:J22,ROW(Data_Schools!J5:J22)-5+2009)</f>
        <v>5.88235294117647</v>
      </c>
    </row>
    <row r="30" customFormat="false" ht="15" hidden="false" customHeight="false" outlineLevel="0" collapsed="false">
      <c r="A30" s="7" t="s">
        <v>38</v>
      </c>
      <c r="B30" s="7" t="s">
        <v>156</v>
      </c>
      <c r="C30" s="7" t="s">
        <v>214</v>
      </c>
      <c r="D30" s="7" t="s">
        <v>205</v>
      </c>
      <c r="E30" s="13" t="n">
        <v>5.55952380926769</v>
      </c>
      <c r="F30" s="13" t="n">
        <v>-2.33894253647265</v>
      </c>
      <c r="G30" s="13" t="n">
        <v>13.457990155008</v>
      </c>
      <c r="H30" s="14" t="n">
        <v>0.13578897231526</v>
      </c>
      <c r="I30" s="15" t="n">
        <v>0.330833375049857</v>
      </c>
      <c r="J30" s="7" t="n">
        <v>8</v>
      </c>
      <c r="K30" s="13" t="n">
        <f aca="false">SLOPE(Data_Schools!J15:J22,ROW(Data_Schools!J15:J22)-15+2019)</f>
        <v>5.55952380952381</v>
      </c>
    </row>
    <row r="31" customFormat="false" ht="15" hidden="false" customHeight="false" outlineLevel="0" collapsed="false">
      <c r="A31" s="7" t="s">
        <v>38</v>
      </c>
      <c r="B31" s="7" t="s">
        <v>157</v>
      </c>
      <c r="C31" s="7" t="s">
        <v>208</v>
      </c>
      <c r="D31" s="7" t="s">
        <v>209</v>
      </c>
      <c r="E31" s="13" t="n">
        <v>-0.164086687303193</v>
      </c>
      <c r="F31" s="13" t="n">
        <v>-2.04634478144616</v>
      </c>
      <c r="G31" s="13" t="n">
        <v>1.71817140683977</v>
      </c>
      <c r="H31" s="14" t="n">
        <v>0.855705186317328</v>
      </c>
      <c r="I31" s="15" t="n">
        <v>0.00352919678258212</v>
      </c>
      <c r="J31" s="7" t="n">
        <v>18</v>
      </c>
      <c r="K31" s="13" t="n">
        <f aca="false">SLOPE(Data_Schools!K5:K22,ROW(Data_Schools!K5:K22)-5+2009)</f>
        <v>-0.164086687306502</v>
      </c>
    </row>
    <row r="32" customFormat="false" ht="15" hidden="false" customHeight="false" outlineLevel="0" collapsed="false">
      <c r="A32" s="7" t="s">
        <v>38</v>
      </c>
      <c r="B32" s="7" t="s">
        <v>157</v>
      </c>
      <c r="C32" s="7" t="s">
        <v>214</v>
      </c>
      <c r="D32" s="7" t="s">
        <v>205</v>
      </c>
      <c r="E32" s="13" t="n">
        <v>5.3809523807016</v>
      </c>
      <c r="F32" s="13" t="n">
        <v>-1.02639034365886</v>
      </c>
      <c r="G32" s="13" t="n">
        <v>11.7882951050621</v>
      </c>
      <c r="H32" s="14" t="n">
        <v>0.0856540586118183</v>
      </c>
      <c r="I32" s="15" t="n">
        <v>0.413075828157368</v>
      </c>
      <c r="J32" s="7" t="n">
        <v>8</v>
      </c>
      <c r="K32" s="13" t="n">
        <f aca="false">SLOPE(Data_Schools!K15:K22,ROW(Data_Schools!K15:K22)-15+2019)</f>
        <v>5.38095238095238</v>
      </c>
    </row>
    <row r="33" customFormat="false" ht="15" hidden="false" customHeight="false" outlineLevel="0" collapsed="false">
      <c r="A33" s="7" t="s">
        <v>38</v>
      </c>
      <c r="B33" s="7" t="s">
        <v>158</v>
      </c>
      <c r="C33" s="7" t="s">
        <v>208</v>
      </c>
      <c r="D33" s="7" t="s">
        <v>209</v>
      </c>
      <c r="E33" s="13" t="n">
        <v>0.77296181629118</v>
      </c>
      <c r="F33" s="13" t="n">
        <v>-1.47986553073405</v>
      </c>
      <c r="G33" s="13" t="n">
        <v>3.02578916331641</v>
      </c>
      <c r="H33" s="14" t="n">
        <v>0.477517368615416</v>
      </c>
      <c r="I33" s="15" t="n">
        <v>0.0540820551529937</v>
      </c>
      <c r="J33" s="7" t="n">
        <v>18</v>
      </c>
      <c r="K33" s="13" t="n">
        <f aca="false">SLOPE(Data_Schools!L5:L22,ROW(Data_Schools!L5:L22)-5+2009)</f>
        <v>0.77296181630547</v>
      </c>
    </row>
    <row r="34" customFormat="false" ht="15" hidden="false" customHeight="false" outlineLevel="0" collapsed="false">
      <c r="A34" s="7" t="s">
        <v>38</v>
      </c>
      <c r="B34" s="7" t="s">
        <v>158</v>
      </c>
      <c r="C34" s="7" t="s">
        <v>214</v>
      </c>
      <c r="D34" s="7" t="s">
        <v>205</v>
      </c>
      <c r="E34" s="13" t="n">
        <v>-3.38095238078222</v>
      </c>
      <c r="F34" s="13" t="n">
        <v>-4.77594731354581</v>
      </c>
      <c r="G34" s="13" t="n">
        <v>-1.98595744801863</v>
      </c>
      <c r="H34" s="14" t="n">
        <v>0.0010253302542349</v>
      </c>
      <c r="I34" s="15" t="n">
        <v>0.854261989493306</v>
      </c>
      <c r="J34" s="7" t="n">
        <v>8</v>
      </c>
      <c r="K34" s="13" t="n">
        <f aca="false">SLOPE(Data_Schools!L15:L22,ROW(Data_Schools!L15:L22)-15+2019)</f>
        <v>-3.38095238095238</v>
      </c>
    </row>
    <row r="35" customFormat="false" ht="15" hidden="false" customHeight="false" outlineLevel="0" collapsed="false">
      <c r="A35" s="7" t="s">
        <v>38</v>
      </c>
      <c r="B35" s="7" t="s">
        <v>215</v>
      </c>
      <c r="C35" s="7" t="s">
        <v>208</v>
      </c>
      <c r="D35" s="7" t="s">
        <v>209</v>
      </c>
      <c r="E35" s="13" t="n">
        <v>-4.08668730642451</v>
      </c>
      <c r="F35" s="13" t="n">
        <v>-13.2769990136115</v>
      </c>
      <c r="G35" s="13" t="n">
        <v>5.1036244007625</v>
      </c>
      <c r="H35" s="14" t="n">
        <v>0.359869108386688</v>
      </c>
      <c r="I35" s="15" t="n">
        <v>0.0763218342470599</v>
      </c>
      <c r="J35" s="7" t="n">
        <v>18</v>
      </c>
      <c r="K35" s="13" t="n">
        <f aca="false">SLOPE(Data_Schools!M5:M22,ROW(Data_Schools!M5:M22)-5+2009)</f>
        <v>-4.08668730650155</v>
      </c>
    </row>
    <row r="36" customFormat="false" ht="15" hidden="false" customHeight="false" outlineLevel="0" collapsed="false">
      <c r="A36" s="7" t="s">
        <v>38</v>
      </c>
      <c r="B36" s="7" t="s">
        <v>215</v>
      </c>
      <c r="C36" s="7" t="s">
        <v>214</v>
      </c>
      <c r="D36" s="7" t="s">
        <v>205</v>
      </c>
      <c r="E36" s="13" t="n">
        <v>-28.9523809509492</v>
      </c>
      <c r="F36" s="13" t="n">
        <v>-46.5324966219218</v>
      </c>
      <c r="G36" s="13" t="n">
        <v>-11.3722652799766</v>
      </c>
      <c r="H36" s="14" t="n">
        <v>0.00688203454941824</v>
      </c>
      <c r="I36" s="15" t="n">
        <v>0.73020482096684</v>
      </c>
      <c r="J36" s="7" t="n">
        <v>8</v>
      </c>
      <c r="K36" s="13" t="n">
        <f aca="false">SLOPE(Data_Schools!M15:M22,ROW(Data_Schools!M15:M22)-15+2019)</f>
        <v>-28.952380952381</v>
      </c>
    </row>
    <row r="37" customFormat="false" ht="15" hidden="false" customHeight="false" outlineLevel="0" collapsed="false">
      <c r="A37" s="7" t="s">
        <v>38</v>
      </c>
      <c r="B37" s="7" t="s">
        <v>216</v>
      </c>
      <c r="C37" s="7" t="s">
        <v>208</v>
      </c>
      <c r="D37" s="7" t="s">
        <v>209</v>
      </c>
      <c r="E37" s="13" t="n">
        <v>-16.4726522184722</v>
      </c>
      <c r="F37" s="13" t="n">
        <v>-32.5180020976749</v>
      </c>
      <c r="G37" s="13" t="n">
        <v>-0.427302339269495</v>
      </c>
      <c r="H37" s="14" t="n">
        <v>0.0448527957765268</v>
      </c>
      <c r="I37" s="15" t="n">
        <v>0.34660936086692</v>
      </c>
      <c r="J37" s="7" t="n">
        <v>18</v>
      </c>
      <c r="K37" s="13" t="n">
        <f aca="false">SLOPE(Data_Schools!N5:N22,ROW(Data_Schools!N5:N22)-5+2009)</f>
        <v>-16.4726522187823</v>
      </c>
    </row>
    <row r="38" customFormat="false" ht="15" hidden="false" customHeight="false" outlineLevel="0" collapsed="false">
      <c r="A38" s="7" t="s">
        <v>38</v>
      </c>
      <c r="B38" s="7" t="s">
        <v>216</v>
      </c>
      <c r="C38" s="7" t="s">
        <v>214</v>
      </c>
      <c r="D38" s="7" t="s">
        <v>205</v>
      </c>
      <c r="E38" s="13" t="n">
        <v>-62.2857142825985</v>
      </c>
      <c r="F38" s="13" t="n">
        <v>-96.295396863564</v>
      </c>
      <c r="G38" s="13" t="n">
        <v>-28.276031701633</v>
      </c>
      <c r="H38" s="14" t="n">
        <v>0.00418657307070119</v>
      </c>
      <c r="I38" s="15" t="n">
        <v>0.76995687381209</v>
      </c>
      <c r="J38" s="7" t="n">
        <v>8</v>
      </c>
      <c r="K38" s="13" t="n">
        <f aca="false">SLOPE(Data_Schools!N15:N22,ROW(Data_Schools!N15:N22)-15+2019)</f>
        <v>-62.2857142857143</v>
      </c>
    </row>
    <row r="39" customFormat="false" ht="15" hidden="false" customHeight="false" outlineLevel="0" collapsed="false">
      <c r="A39" s="7" t="s">
        <v>38</v>
      </c>
      <c r="B39" s="7" t="s">
        <v>217</v>
      </c>
      <c r="C39" s="7" t="s">
        <v>208</v>
      </c>
      <c r="D39" s="7" t="s">
        <v>209</v>
      </c>
      <c r="E39" s="13" t="n">
        <v>-20.5593395248967</v>
      </c>
      <c r="F39" s="13" t="n">
        <v>-45.1551044542907</v>
      </c>
      <c r="G39" s="13" t="n">
        <v>4.03642540449719</v>
      </c>
      <c r="H39" s="14" t="n">
        <v>0.0954331405444301</v>
      </c>
      <c r="I39" s="15" t="n">
        <v>0.255045171516652</v>
      </c>
      <c r="J39" s="7" t="n">
        <v>18</v>
      </c>
      <c r="K39" s="13" t="n">
        <f aca="false">SLOPE(Data_Schools!O5:O22,ROW(Data_Schools!O5:O22)-5+2009)</f>
        <v>-20.5593395252838</v>
      </c>
    </row>
    <row r="40" customFormat="false" ht="15" hidden="false" customHeight="false" outlineLevel="0" collapsed="false">
      <c r="A40" s="7" t="s">
        <v>38</v>
      </c>
      <c r="B40" s="7" t="s">
        <v>217</v>
      </c>
      <c r="C40" s="7" t="s">
        <v>214</v>
      </c>
      <c r="D40" s="7" t="s">
        <v>205</v>
      </c>
      <c r="E40" s="13" t="n">
        <v>-91.2380952335477</v>
      </c>
      <c r="F40" s="13" t="n">
        <v>-134.070181314437</v>
      </c>
      <c r="G40" s="13" t="n">
        <v>-48.4060091526583</v>
      </c>
      <c r="H40" s="14" t="n">
        <v>0.001991064125283</v>
      </c>
      <c r="I40" s="15" t="n">
        <v>0.819100343225932</v>
      </c>
      <c r="J40" s="7" t="n">
        <v>8</v>
      </c>
      <c r="K40" s="13" t="n">
        <f aca="false">SLOPE(Data_Schools!O15:O22,ROW(Data_Schools!O15:O22)-15+2019)</f>
        <v>-91.2380952380952</v>
      </c>
    </row>
    <row r="41" customFormat="false" ht="15" hidden="false" customHeight="false" outlineLevel="0" collapsed="false">
      <c r="A41" s="7" t="s">
        <v>38</v>
      </c>
      <c r="B41" s="7" t="s">
        <v>218</v>
      </c>
      <c r="C41" s="7" t="s">
        <v>208</v>
      </c>
      <c r="D41" s="7" t="s">
        <v>209</v>
      </c>
      <c r="E41" s="16" t="n">
        <v>0.000150802282228644</v>
      </c>
      <c r="F41" s="16" t="n">
        <v>-0.000969740927555983</v>
      </c>
      <c r="G41" s="16" t="n">
        <v>0.00127134549201327</v>
      </c>
      <c r="H41" s="14" t="n">
        <v>0.779077454676464</v>
      </c>
      <c r="I41" s="15" t="n">
        <v>0.0057487984878255</v>
      </c>
      <c r="J41" s="7" t="n">
        <v>18</v>
      </c>
      <c r="K41" s="16" t="n">
        <f aca="false">SLOPE(Data_Schools!P5:P22,ROW(Data_Schools!P5:P22)-5+2009)</f>
        <v>0.000150802282231263</v>
      </c>
    </row>
    <row r="42" customFormat="false" ht="15" hidden="false" customHeight="false" outlineLevel="0" collapsed="false">
      <c r="A42" s="7" t="s">
        <v>219</v>
      </c>
      <c r="B42" s="7" t="s">
        <v>220</v>
      </c>
      <c r="C42" s="7" t="s">
        <v>221</v>
      </c>
      <c r="D42" s="7" t="s">
        <v>209</v>
      </c>
      <c r="E42" s="13" t="n">
        <v>26.7553921570288</v>
      </c>
      <c r="F42" s="13" t="n">
        <v>-6.64110667129517</v>
      </c>
      <c r="G42" s="13" t="n">
        <v>60.1518909853529</v>
      </c>
      <c r="H42" s="14" t="n">
        <v>0.108318437264748</v>
      </c>
      <c r="I42" s="15" t="n">
        <v>0.212204535485739</v>
      </c>
      <c r="J42" s="7" t="n">
        <v>17</v>
      </c>
      <c r="K42" s="13" t="n">
        <f aca="false">SLOPE(Data_District!C5:C21,ROW(Data_District!C5:C21)-5+2009)</f>
        <v>26.7553921568628</v>
      </c>
    </row>
    <row r="43" customFormat="false" ht="15" hidden="false" customHeight="false" outlineLevel="0" collapsed="false">
      <c r="A43" s="7" t="s">
        <v>219</v>
      </c>
      <c r="B43" s="7" t="s">
        <v>220</v>
      </c>
      <c r="C43" s="7" t="s">
        <v>204</v>
      </c>
      <c r="D43" s="7" t="s">
        <v>205</v>
      </c>
      <c r="E43" s="13" t="n">
        <v>105.276363637452</v>
      </c>
      <c r="F43" s="13" t="n">
        <v>78.0469000897621</v>
      </c>
      <c r="G43" s="13" t="n">
        <v>132.505827185142</v>
      </c>
      <c r="H43" s="14" t="n">
        <v>1.07835039776946E-005</v>
      </c>
      <c r="I43" s="15" t="n">
        <v>0.894729835787624</v>
      </c>
      <c r="J43" s="7" t="n">
        <v>11</v>
      </c>
      <c r="K43" s="13" t="n">
        <f aca="false">SLOPE(Data_District!C5:C15,ROW(Data_District!C5:C15)-5+2009)</f>
        <v>105.276363636364</v>
      </c>
    </row>
    <row r="44" customFormat="false" ht="15" hidden="false" customHeight="false" outlineLevel="0" collapsed="false">
      <c r="A44" s="7" t="s">
        <v>219</v>
      </c>
      <c r="B44" s="7" t="s">
        <v>220</v>
      </c>
      <c r="C44" s="7" t="s">
        <v>222</v>
      </c>
      <c r="D44" s="7" t="s">
        <v>205</v>
      </c>
      <c r="E44" s="13" t="n">
        <v>-59.9428571488777</v>
      </c>
      <c r="F44" s="13" t="n">
        <v>-129.602093864022</v>
      </c>
      <c r="G44" s="13" t="n">
        <v>9.71637956626685</v>
      </c>
      <c r="H44" s="14" t="n">
        <v>0.0779056708194039</v>
      </c>
      <c r="I44" s="15" t="n">
        <v>0.494595076633863</v>
      </c>
      <c r="J44" s="7" t="n">
        <v>7</v>
      </c>
      <c r="K44" s="13" t="n">
        <f aca="false">SLOPE(Data_District!C15:C21,ROW(Data_District!C15:C21)-15+2019)</f>
        <v>-59.9428571428572</v>
      </c>
    </row>
    <row r="45" customFormat="false" ht="15" hidden="false" customHeight="false" outlineLevel="0" collapsed="false">
      <c r="A45" s="7" t="s">
        <v>219</v>
      </c>
      <c r="B45" s="7" t="s">
        <v>220</v>
      </c>
      <c r="C45" s="7" t="s">
        <v>223</v>
      </c>
      <c r="D45" s="7" t="s">
        <v>205</v>
      </c>
      <c r="E45" s="13" t="n">
        <v>-15.1514285682838</v>
      </c>
      <c r="F45" s="13" t="n">
        <v>-46.9482576511842</v>
      </c>
      <c r="G45" s="13" t="n">
        <v>16.6454005146166</v>
      </c>
      <c r="H45" s="14" t="n">
        <v>0.256398231777051</v>
      </c>
      <c r="I45" s="15" t="n">
        <v>0.304386669017366</v>
      </c>
      <c r="J45" s="7" t="n">
        <v>6</v>
      </c>
      <c r="K45" s="13" t="n">
        <f aca="false">SLOPE(Data_District!C16:C21,ROW(Data_District!C16:C21)-16+2020)</f>
        <v>-15.1514285714288</v>
      </c>
    </row>
    <row r="46" customFormat="false" ht="15" hidden="false" customHeight="false" outlineLevel="0" collapsed="false">
      <c r="A46" s="7" t="s">
        <v>219</v>
      </c>
      <c r="B46" s="7" t="s">
        <v>224</v>
      </c>
      <c r="C46" s="7" t="s">
        <v>206</v>
      </c>
      <c r="D46" s="7" t="s">
        <v>205</v>
      </c>
      <c r="E46" s="13" t="n">
        <v>-23.2071428600748</v>
      </c>
      <c r="F46" s="13" t="n">
        <v>-47.2128133669209</v>
      </c>
      <c r="G46" s="13" t="n">
        <v>0.798527646771351</v>
      </c>
      <c r="H46" s="14" t="n">
        <v>0.0554949438010561</v>
      </c>
      <c r="I46" s="15" t="n">
        <v>0.552596375604681</v>
      </c>
      <c r="J46" s="7" t="n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8"/>
    <col collapsed="false" customWidth="true" hidden="false" outlineLevel="0" max="5" min="5" style="0" width="30"/>
  </cols>
  <sheetData>
    <row r="1" customFormat="false" ht="16.15" hidden="false" customHeight="false" outlineLevel="0" collapsed="false">
      <c r="A1" s="4" t="s">
        <v>225</v>
      </c>
    </row>
    <row r="2" customFormat="false" ht="15" hidden="false" customHeight="false" outlineLevel="0" collapsed="false">
      <c r="A2" s="5" t="s">
        <v>226</v>
      </c>
    </row>
    <row r="4" customFormat="false" ht="15" hidden="false" customHeight="false" outlineLevel="0" collapsed="false">
      <c r="A4" s="6" t="s">
        <v>227</v>
      </c>
      <c r="B4" s="6" t="s">
        <v>228</v>
      </c>
      <c r="C4" s="6" t="s">
        <v>199</v>
      </c>
      <c r="D4" s="6" t="s">
        <v>229</v>
      </c>
      <c r="E4" s="6" t="s">
        <v>230</v>
      </c>
    </row>
    <row r="5" customFormat="false" ht="15" hidden="false" customHeight="false" outlineLevel="0" collapsed="false">
      <c r="A5" s="7" t="s">
        <v>231</v>
      </c>
      <c r="B5" s="7" t="n">
        <v>4</v>
      </c>
      <c r="C5" s="15" t="n">
        <v>0.923048431849907</v>
      </c>
      <c r="D5" s="13" t="n">
        <v>154.540013683152</v>
      </c>
      <c r="E5" s="7"/>
    </row>
    <row r="6" customFormat="false" ht="15" hidden="false" customHeight="false" outlineLevel="0" collapsed="false">
      <c r="A6" s="7" t="s">
        <v>232</v>
      </c>
      <c r="B6" s="7" t="n">
        <v>4</v>
      </c>
      <c r="C6" s="15" t="n">
        <v>0.882878489545897</v>
      </c>
      <c r="D6" s="13" t="n">
        <v>162.100656424827</v>
      </c>
      <c r="E6" s="7" t="s">
        <v>233</v>
      </c>
    </row>
    <row r="7" customFormat="false" ht="15" hidden="false" customHeight="false" outlineLevel="0" collapsed="false">
      <c r="A7" s="7" t="s">
        <v>234</v>
      </c>
      <c r="B7" s="7" t="n">
        <v>4</v>
      </c>
      <c r="C7" s="15" t="n">
        <v>0.849990701931994</v>
      </c>
      <c r="D7" s="13" t="n">
        <v>166.55539241034</v>
      </c>
      <c r="E7" s="7" t="s">
        <v>235</v>
      </c>
    </row>
    <row r="8" customFormat="false" ht="15" hidden="false" customHeight="false" outlineLevel="0" collapsed="false">
      <c r="A8" s="7" t="s">
        <v>236</v>
      </c>
      <c r="B8" s="7" t="n">
        <v>4</v>
      </c>
      <c r="C8" s="15" t="n">
        <v>0.823155440027555</v>
      </c>
      <c r="D8" s="13" t="n">
        <v>169.517722163865</v>
      </c>
      <c r="E8" s="7" t="s">
        <v>237</v>
      </c>
    </row>
    <row r="9" customFormat="false" ht="15" hidden="false" customHeight="false" outlineLevel="0" collapsed="false">
      <c r="A9" s="7" t="s">
        <v>238</v>
      </c>
      <c r="B9" s="7" t="n">
        <v>4</v>
      </c>
      <c r="C9" s="15" t="n">
        <v>0.807948200473044</v>
      </c>
      <c r="D9" s="13" t="n">
        <v>171.002613630221</v>
      </c>
      <c r="E9" s="7" t="s">
        <v>239</v>
      </c>
    </row>
    <row r="10" customFormat="false" ht="15" hidden="false" customHeight="false" outlineLevel="0" collapsed="false">
      <c r="A10" s="7" t="s">
        <v>240</v>
      </c>
      <c r="B10" s="7" t="n">
        <v>3</v>
      </c>
      <c r="C10" s="15" t="n">
        <v>0.768764210366639</v>
      </c>
      <c r="D10" s="13" t="n">
        <v>172.344724019892</v>
      </c>
      <c r="E10" s="7"/>
    </row>
    <row r="11" customFormat="false" ht="15" hidden="false" customHeight="false" outlineLevel="0" collapsed="false">
      <c r="A11" s="7" t="s">
        <v>241</v>
      </c>
      <c r="B11" s="7" t="n">
        <v>2</v>
      </c>
      <c r="C11" s="15" t="n">
        <v>0.25504517151665</v>
      </c>
      <c r="D11" s="13" t="n">
        <v>191.402665888422</v>
      </c>
      <c r="E11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13" min="2" style="0" width="9"/>
  </cols>
  <sheetData>
    <row r="1" customFormat="false" ht="16.15" hidden="false" customHeight="false" outlineLevel="0" collapsed="false">
      <c r="A1" s="4" t="s">
        <v>242</v>
      </c>
    </row>
    <row r="2" customFormat="false" ht="15" hidden="false" customHeight="false" outlineLevel="0" collapsed="false">
      <c r="A2" s="5" t="s">
        <v>243</v>
      </c>
    </row>
    <row r="4" customFormat="false" ht="15" hidden="false" customHeight="false" outlineLevel="0" collapsed="false">
      <c r="A4" s="11" t="s">
        <v>244</v>
      </c>
    </row>
    <row r="5" customFormat="false" ht="15" hidden="false" customHeight="false" outlineLevel="0" collapsed="false">
      <c r="A5" s="6" t="s">
        <v>108</v>
      </c>
      <c r="B5" s="6" t="s">
        <v>245</v>
      </c>
      <c r="C5" s="6" t="s">
        <v>246</v>
      </c>
      <c r="D5" s="6" t="s">
        <v>247</v>
      </c>
      <c r="E5" s="6" t="s">
        <v>248</v>
      </c>
      <c r="F5" s="6" t="s">
        <v>249</v>
      </c>
    </row>
    <row r="6" customFormat="false" ht="15" hidden="false" customHeight="false" outlineLevel="0" collapsed="false">
      <c r="A6" s="7" t="s">
        <v>117</v>
      </c>
      <c r="B6" s="16" t="n">
        <f aca="false">Data_K5!C6/Data_K5!B5</f>
        <v>1.04912280701754</v>
      </c>
      <c r="C6" s="16" t="n">
        <f aca="false">Data_K5!D6/Data_K5!C5</f>
        <v>0.996768982229402</v>
      </c>
      <c r="D6" s="16" t="n">
        <f aca="false">Data_K5!E6/Data_K5!D5</f>
        <v>0.983050847457627</v>
      </c>
      <c r="E6" s="16" t="n">
        <f aca="false">Data_K5!F6/Data_K5!E5</f>
        <v>1.0064</v>
      </c>
      <c r="F6" s="16" t="n">
        <f aca="false">Data_K5!G6/Data_K5!F5</f>
        <v>0.992424242424242</v>
      </c>
    </row>
    <row r="7" customFormat="false" ht="15" hidden="false" customHeight="false" outlineLevel="0" collapsed="false">
      <c r="A7" s="7" t="s">
        <v>118</v>
      </c>
      <c r="B7" s="16" t="n">
        <f aca="false">Data_K5!C7/Data_K5!B6</f>
        <v>1.0223752151463</v>
      </c>
      <c r="C7" s="16" t="n">
        <f aca="false">Data_K5!D7/Data_K5!C6</f>
        <v>0.991638795986622</v>
      </c>
      <c r="D7" s="16" t="n">
        <f aca="false">Data_K5!E7/Data_K5!D6</f>
        <v>0.982171799027553</v>
      </c>
      <c r="E7" s="16" t="n">
        <f aca="false">Data_K5!F7/Data_K5!E6</f>
        <v>1.00862068965517</v>
      </c>
      <c r="F7" s="16" t="n">
        <f aca="false">Data_K5!G7/Data_K5!F6</f>
        <v>0.988871224165342</v>
      </c>
    </row>
    <row r="8" customFormat="false" ht="15" hidden="false" customHeight="false" outlineLevel="0" collapsed="false">
      <c r="A8" s="7" t="s">
        <v>119</v>
      </c>
      <c r="B8" s="16" t="n">
        <f aca="false">Data_K5!C8/Data_K5!B7</f>
        <v>1.06360424028269</v>
      </c>
      <c r="C8" s="16" t="n">
        <f aca="false">Data_K5!D8/Data_K5!C7</f>
        <v>1.04040404040404</v>
      </c>
      <c r="D8" s="16" t="n">
        <f aca="false">Data_K5!E8/Data_K5!D7</f>
        <v>1.03878583473862</v>
      </c>
      <c r="E8" s="16" t="n">
        <f aca="false">Data_K5!F8/Data_K5!E7</f>
        <v>1.04620462046205</v>
      </c>
      <c r="F8" s="16" t="n">
        <f aca="false">Data_K5!G8/Data_K5!F7</f>
        <v>1.05299145299145</v>
      </c>
    </row>
    <row r="9" customFormat="false" ht="15" hidden="false" customHeight="false" outlineLevel="0" collapsed="false">
      <c r="A9" s="7" t="s">
        <v>120</v>
      </c>
      <c r="B9" s="16" t="n">
        <f aca="false">Data_K5!C9/Data_K5!B8</f>
        <v>1.09443507588533</v>
      </c>
      <c r="C9" s="16" t="n">
        <f aca="false">Data_K5!D9/Data_K5!C8</f>
        <v>1.01993355481728</v>
      </c>
      <c r="D9" s="16" t="n">
        <f aca="false">Data_K5!E9/Data_K5!D8</f>
        <v>1.01941747572816</v>
      </c>
      <c r="E9" s="16" t="n">
        <f aca="false">Data_K5!F9/Data_K5!E8</f>
        <v>1.0211038961039</v>
      </c>
      <c r="F9" s="16" t="n">
        <f aca="false">Data_K5!G9/Data_K5!F8</f>
        <v>1.01104100946372</v>
      </c>
    </row>
    <row r="10" customFormat="false" ht="15" hidden="false" customHeight="false" outlineLevel="0" collapsed="false">
      <c r="A10" s="7" t="s">
        <v>121</v>
      </c>
      <c r="B10" s="16" t="n">
        <f aca="false">Data_K5!C10/Data_K5!B9</f>
        <v>1.0580204778157</v>
      </c>
      <c r="C10" s="16" t="n">
        <f aca="false">Data_K5!D10/Data_K5!C9</f>
        <v>1.00154083204931</v>
      </c>
      <c r="D10" s="16" t="n">
        <f aca="false">Data_K5!E10/Data_K5!D9</f>
        <v>1.02442996742671</v>
      </c>
      <c r="E10" s="16" t="n">
        <f aca="false">Data_K5!F10/Data_K5!E9</f>
        <v>1.03174603174603</v>
      </c>
      <c r="F10" s="16" t="n">
        <f aca="false">Data_K5!G10/Data_K5!F9</f>
        <v>1.03338632750397</v>
      </c>
    </row>
    <row r="11" customFormat="false" ht="15" hidden="false" customHeight="false" outlineLevel="0" collapsed="false">
      <c r="A11" s="7" t="s">
        <v>122</v>
      </c>
      <c r="B11" s="16" t="n">
        <f aca="false">Data_K5!C11/Data_K5!B10</f>
        <v>1.02086677367576</v>
      </c>
      <c r="C11" s="16" t="n">
        <f aca="false">Data_K5!D11/Data_K5!C10</f>
        <v>1.05806451612903</v>
      </c>
      <c r="D11" s="16" t="n">
        <f aca="false">Data_K5!E11/Data_K5!D10</f>
        <v>0.990769230769231</v>
      </c>
      <c r="E11" s="16" t="n">
        <f aca="false">Data_K5!F11/Data_K5!E10</f>
        <v>1.05087440381558</v>
      </c>
      <c r="F11" s="16" t="n">
        <f aca="false">Data_K5!G11/Data_K5!F10</f>
        <v>1.04615384615385</v>
      </c>
    </row>
    <row r="12" customFormat="false" ht="15" hidden="false" customHeight="false" outlineLevel="0" collapsed="false">
      <c r="A12" s="7" t="s">
        <v>123</v>
      </c>
      <c r="B12" s="16" t="n">
        <f aca="false">Data_K5!C12/Data_K5!B11</f>
        <v>1.11290322580645</v>
      </c>
      <c r="C12" s="16" t="n">
        <f aca="false">Data_K5!D12/Data_K5!C11</f>
        <v>1.08805031446541</v>
      </c>
      <c r="D12" s="16" t="n">
        <f aca="false">Data_K5!E12/Data_K5!D11</f>
        <v>0.990853658536585</v>
      </c>
      <c r="E12" s="16" t="n">
        <f aca="false">Data_K5!F12/Data_K5!E11</f>
        <v>1.04347826086957</v>
      </c>
      <c r="F12" s="16" t="n">
        <f aca="false">Data_K5!G12/Data_K5!F11</f>
        <v>1.02420574886536</v>
      </c>
    </row>
    <row r="13" customFormat="false" ht="15" hidden="false" customHeight="false" outlineLevel="0" collapsed="false">
      <c r="A13" s="7" t="s">
        <v>124</v>
      </c>
      <c r="B13" s="16" t="n">
        <f aca="false">Data_K5!C13/Data_K5!B12</f>
        <v>1.01718213058419</v>
      </c>
      <c r="C13" s="16" t="n">
        <f aca="false">Data_K5!D13/Data_K5!C12</f>
        <v>1</v>
      </c>
      <c r="D13" s="16" t="n">
        <f aca="false">Data_K5!E13/Data_K5!D12</f>
        <v>1.02456647398844</v>
      </c>
      <c r="E13" s="16" t="n">
        <f aca="false">Data_K5!F13/Data_K5!E12</f>
        <v>1.01384615384615</v>
      </c>
      <c r="F13" s="16" t="n">
        <f aca="false">Data_K5!G13/Data_K5!F12</f>
        <v>1.03571428571429</v>
      </c>
    </row>
    <row r="14" customFormat="false" ht="15" hidden="false" customHeight="false" outlineLevel="0" collapsed="false">
      <c r="A14" s="7" t="s">
        <v>125</v>
      </c>
      <c r="B14" s="16" t="n">
        <f aca="false">Data_K5!C14/Data_K5!B13</f>
        <v>1.08945686900958</v>
      </c>
      <c r="C14" s="16" t="n">
        <f aca="false">Data_K5!D14/Data_K5!C13</f>
        <v>1.03885135135135</v>
      </c>
      <c r="D14" s="16" t="n">
        <f aca="false">Data_K5!E14/Data_K5!D13</f>
        <v>1.03220611916264</v>
      </c>
      <c r="E14" s="16" t="n">
        <f aca="false">Data_K5!F14/Data_K5!E13</f>
        <v>1</v>
      </c>
      <c r="F14" s="16" t="n">
        <f aca="false">Data_K5!G14/Data_K5!F13</f>
        <v>1.0288315629742</v>
      </c>
    </row>
    <row r="15" customFormat="false" ht="15" hidden="false" customHeight="false" outlineLevel="0" collapsed="false">
      <c r="A15" s="7" t="s">
        <v>126</v>
      </c>
      <c r="B15" s="16" t="n">
        <f aca="false">Data_K5!C15/Data_K5!B14</f>
        <v>1.00313971742543</v>
      </c>
      <c r="C15" s="16" t="n">
        <f aca="false">Data_K5!D15/Data_K5!C14</f>
        <v>1.02785923753666</v>
      </c>
      <c r="D15" s="16" t="n">
        <f aca="false">Data_K5!E15/Data_K5!D14</f>
        <v>1.01951219512195</v>
      </c>
      <c r="E15" s="16" t="n">
        <f aca="false">Data_K5!F15/Data_K5!E14</f>
        <v>1.01716068642746</v>
      </c>
      <c r="F15" s="16" t="n">
        <f aca="false">Data_K5!G15/Data_K5!F14</f>
        <v>1.02679830747532</v>
      </c>
    </row>
    <row r="16" customFormat="false" ht="15" hidden="false" customHeight="false" outlineLevel="0" collapsed="false">
      <c r="A16" s="7" t="s">
        <v>127</v>
      </c>
      <c r="B16" s="16" t="n">
        <f aca="false">Data_K5!C16/Data_K5!B15</f>
        <v>0.93421052631579</v>
      </c>
      <c r="C16" s="16" t="n">
        <f aca="false">Data_K5!D16/Data_K5!C15</f>
        <v>0.967136150234742</v>
      </c>
      <c r="D16" s="16" t="n">
        <f aca="false">Data_K5!E16/Data_K5!D15</f>
        <v>1.00142653352354</v>
      </c>
      <c r="E16" s="16" t="n">
        <f aca="false">Data_K5!F16/Data_K5!E15</f>
        <v>0.960127591706539</v>
      </c>
      <c r="F16" s="16" t="n">
        <f aca="false">Data_K5!G16/Data_K5!F15</f>
        <v>0.996932515337423</v>
      </c>
    </row>
    <row r="17" customFormat="false" ht="15" hidden="false" customHeight="false" outlineLevel="0" collapsed="false">
      <c r="A17" s="7" t="s">
        <v>128</v>
      </c>
      <c r="B17" s="16" t="n">
        <f aca="false">Data_K5!C17/Data_K5!B16</f>
        <v>1.03619047619048</v>
      </c>
      <c r="C17" s="16" t="n">
        <f aca="false">Data_K5!D17/Data_K5!C16</f>
        <v>0.951486697965571</v>
      </c>
      <c r="D17" s="16" t="n">
        <f aca="false">Data_K5!E17/Data_K5!D16</f>
        <v>0.927184466019418</v>
      </c>
      <c r="E17" s="16" t="n">
        <f aca="false">Data_K5!F17/Data_K5!E16</f>
        <v>0.927350427350427</v>
      </c>
      <c r="F17" s="16" t="n">
        <f aca="false">Data_K5!G17/Data_K5!F16</f>
        <v>0.945182724252492</v>
      </c>
    </row>
    <row r="18" customFormat="false" ht="15" hidden="false" customHeight="false" outlineLevel="0" collapsed="false">
      <c r="A18" s="7" t="s">
        <v>129</v>
      </c>
      <c r="B18" s="16" t="n">
        <f aca="false">Data_K5!C18/Data_K5!B17</f>
        <v>1.08614232209738</v>
      </c>
      <c r="C18" s="16" t="n">
        <f aca="false">Data_K5!D18/Data_K5!C17</f>
        <v>1.05147058823529</v>
      </c>
      <c r="D18" s="16" t="n">
        <f aca="false">Data_K5!E18/Data_K5!D17</f>
        <v>1.05427631578947</v>
      </c>
      <c r="E18" s="16" t="n">
        <f aca="false">Data_K5!F18/Data_K5!E17</f>
        <v>1.07853403141361</v>
      </c>
      <c r="F18" s="16" t="n">
        <f aca="false">Data_K5!G18/Data_K5!F17</f>
        <v>1.09216589861751</v>
      </c>
    </row>
    <row r="19" customFormat="false" ht="15" hidden="false" customHeight="false" outlineLevel="0" collapsed="false">
      <c r="A19" s="7" t="s">
        <v>130</v>
      </c>
      <c r="B19" s="16" t="n">
        <f aca="false">Data_K5!C19/Data_K5!B18</f>
        <v>1.06782945736434</v>
      </c>
      <c r="C19" s="16" t="n">
        <f aca="false">Data_K5!D19/Data_K5!C18</f>
        <v>1.02241379310345</v>
      </c>
      <c r="D19" s="16" t="n">
        <f aca="false">Data_K5!E19/Data_K5!D18</f>
        <v>1.01748251748252</v>
      </c>
      <c r="E19" s="16" t="n">
        <f aca="false">Data_K5!F19/Data_K5!E18</f>
        <v>1.0015600624025</v>
      </c>
      <c r="F19" s="16" t="n">
        <f aca="false">Data_K5!G19/Data_K5!F18</f>
        <v>0.977346278317152</v>
      </c>
    </row>
    <row r="20" customFormat="false" ht="15" hidden="false" customHeight="false" outlineLevel="0" collapsed="false">
      <c r="A20" s="7" t="s">
        <v>131</v>
      </c>
      <c r="B20" s="16" t="n">
        <f aca="false">Data_K5!C20/Data_K5!B19</f>
        <v>1.10677618069815</v>
      </c>
      <c r="C20" s="16" t="n">
        <f aca="false">Data_K5!D20/Data_K5!C19</f>
        <v>1.00725952813067</v>
      </c>
      <c r="D20" s="16" t="n">
        <f aca="false">Data_K5!E20/Data_K5!D19</f>
        <v>1.02529510961214</v>
      </c>
      <c r="E20" s="16" t="n">
        <f aca="false">Data_K5!F20/Data_K5!E19</f>
        <v>1.04639175257732</v>
      </c>
      <c r="F20" s="16" t="n">
        <f aca="false">Data_K5!G20/Data_K5!F19</f>
        <v>1.02180685358255</v>
      </c>
    </row>
    <row r="21" customFormat="false" ht="15" hidden="false" customHeight="false" outlineLevel="0" collapsed="false">
      <c r="A21" s="7" t="s">
        <v>132</v>
      </c>
      <c r="B21" s="16" t="n">
        <f aca="false">Data_K5!C21/Data_K5!B20</f>
        <v>1.02505219206681</v>
      </c>
      <c r="C21" s="16" t="n">
        <f aca="false">Data_K5!D21/Data_K5!C20</f>
        <v>1.01669758812616</v>
      </c>
      <c r="D21" s="16" t="n">
        <f aca="false">Data_K5!E21/Data_K5!D20</f>
        <v>1.06126126126126</v>
      </c>
      <c r="E21" s="16" t="n">
        <f aca="false">Data_K5!F21/Data_K5!E20</f>
        <v>1.02302631578947</v>
      </c>
      <c r="F21" s="16" t="n">
        <f aca="false">Data_K5!G21/Data_K5!F20</f>
        <v>1.02627257799672</v>
      </c>
    </row>
    <row r="22" customFormat="false" ht="15" hidden="false" customHeight="false" outlineLevel="0" collapsed="false">
      <c r="A22" s="7" t="s">
        <v>133</v>
      </c>
      <c r="B22" s="16" t="n">
        <f aca="false">Data_K5!C22/Data_K5!B21</f>
        <v>1.05708245243129</v>
      </c>
      <c r="C22" s="16" t="n">
        <f aca="false">Data_K5!D22/Data_K5!C21</f>
        <v>1.0224032586558</v>
      </c>
      <c r="D22" s="16" t="n">
        <f aca="false">Data_K5!E22/Data_K5!D21</f>
        <v>1.02007299270073</v>
      </c>
      <c r="E22" s="16" t="n">
        <f aca="false">Data_K5!F22/Data_K5!E21</f>
        <v>1.02716468590832</v>
      </c>
      <c r="F22" s="16" t="n">
        <f aca="false">Data_K5!G22/Data_K5!F21</f>
        <v>1.01446945337621</v>
      </c>
    </row>
    <row r="24" customFormat="false" ht="15" hidden="false" customHeight="false" outlineLevel="0" collapsed="false">
      <c r="A24" s="11" t="s">
        <v>250</v>
      </c>
      <c r="B24" s="16" t="n">
        <f aca="false">AVERAGE(B6:B15)</f>
        <v>1.0531106532649</v>
      </c>
      <c r="C24" s="16" t="n">
        <f aca="false">AVERAGE(C6:C15)</f>
        <v>1.02631116249691</v>
      </c>
      <c r="D24" s="16" t="n">
        <f aca="false">AVERAGE(D6:D15)</f>
        <v>1.01057636019575</v>
      </c>
      <c r="E24" s="16" t="n">
        <f aca="false">AVERAGE(E6:E15)</f>
        <v>1.02394347429259</v>
      </c>
      <c r="F24" s="16" t="n">
        <f aca="false">AVERAGE(F6:F15)</f>
        <v>1.02404180077317</v>
      </c>
    </row>
    <row r="25" customFormat="false" ht="15" hidden="false" customHeight="false" outlineLevel="0" collapsed="false">
      <c r="A25" s="11" t="s">
        <v>251</v>
      </c>
      <c r="B25" s="16" t="n">
        <f aca="false">STDEV(B6:B15)</f>
        <v>0.0373070142292471</v>
      </c>
      <c r="C25" s="16" t="n">
        <f aca="false">STDEV(C6:C15)</f>
        <v>0.0309115121843955</v>
      </c>
      <c r="D25" s="16" t="n">
        <f aca="false">STDEV(D6:D15)</f>
        <v>0.0214865885751708</v>
      </c>
      <c r="E25" s="16" t="n">
        <f aca="false">STDEV(E6:E15)</f>
        <v>0.0180591554477774</v>
      </c>
      <c r="F25" s="16" t="n">
        <f aca="false">STDEV(F6:F15)</f>
        <v>0.0210470875754159</v>
      </c>
    </row>
    <row r="26" customFormat="false" ht="15" hidden="false" customHeight="false" outlineLevel="0" collapsed="false">
      <c r="A26" s="11" t="s">
        <v>252</v>
      </c>
      <c r="B26" s="16" t="n">
        <f aca="false">AVERAGE(B18:B22)</f>
        <v>1.06857652093159</v>
      </c>
      <c r="C26" s="16" t="n">
        <f aca="false">AVERAGE(C18:C22)</f>
        <v>1.02404895125028</v>
      </c>
      <c r="D26" s="16" t="n">
        <f aca="false">AVERAGE(D18:D22)</f>
        <v>1.03567763936922</v>
      </c>
      <c r="E26" s="16" t="n">
        <f aca="false">AVERAGE(E18:E22)</f>
        <v>1.03533536961824</v>
      </c>
      <c r="F26" s="16" t="n">
        <f aca="false">AVERAGE(F18:F22)</f>
        <v>1.02641221237803</v>
      </c>
    </row>
    <row r="27" customFormat="false" ht="15" hidden="false" customHeight="false" outlineLevel="0" collapsed="false">
      <c r="A27" s="11" t="s">
        <v>253</v>
      </c>
      <c r="B27" s="16" t="n">
        <f aca="false">STDEV(B18:B22)</f>
        <v>0.0308010157895405</v>
      </c>
      <c r="C27" s="16" t="n">
        <f aca="false">STDEV(C18:C22)</f>
        <v>0.0165322071249613</v>
      </c>
      <c r="D27" s="16" t="n">
        <f aca="false">STDEV(D18:D22)</f>
        <v>0.0205109535125578</v>
      </c>
      <c r="E27" s="16" t="n">
        <f aca="false">STDEV(E18:E22)</f>
        <v>0.0289284126811934</v>
      </c>
      <c r="F27" s="16" t="n">
        <f aca="false">STDEV(F18:F22)</f>
        <v>0.0415176813517981</v>
      </c>
    </row>
    <row r="28" customFormat="false" ht="15" hidden="false" customHeight="false" outlineLevel="0" collapsed="false">
      <c r="A28" s="11" t="s">
        <v>254</v>
      </c>
      <c r="B28" s="15" t="n">
        <f aca="false">TTEST(B6:B15,B18:B22,2,3)</f>
        <v>0.414349850055118</v>
      </c>
      <c r="C28" s="15" t="n">
        <f aca="false">TTEST(C6:C15,C18:C22,2,3)</f>
        <v>0.856451162026744</v>
      </c>
      <c r="D28" s="15" t="n">
        <f aca="false">TTEST(D6:D15,D18:D22,2,3)</f>
        <v>0.0572938944800036</v>
      </c>
      <c r="E28" s="15" t="n">
        <f aca="false">TTEST(E6:E15,E18:E22,2,3)</f>
        <v>0.453242811324135</v>
      </c>
      <c r="F28" s="15" t="n">
        <f aca="false">TTEST(F6:F15,F18:F22,2,3)</f>
        <v>0.908970988958666</v>
      </c>
    </row>
    <row r="31" customFormat="false" ht="15" hidden="false" customHeight="false" outlineLevel="0" collapsed="false">
      <c r="A31" s="11" t="s">
        <v>255</v>
      </c>
    </row>
    <row r="32" customFormat="false" ht="15" hidden="false" customHeight="false" outlineLevel="0" collapsed="false">
      <c r="A32" s="6" t="s">
        <v>108</v>
      </c>
      <c r="B32" s="6" t="s">
        <v>245</v>
      </c>
      <c r="C32" s="6" t="s">
        <v>246</v>
      </c>
      <c r="D32" s="6" t="s">
        <v>247</v>
      </c>
      <c r="E32" s="6" t="s">
        <v>248</v>
      </c>
      <c r="F32" s="6" t="s">
        <v>249</v>
      </c>
      <c r="G32" s="6" t="s">
        <v>256</v>
      </c>
      <c r="H32" s="6" t="s">
        <v>257</v>
      </c>
      <c r="I32" s="6" t="s">
        <v>258</v>
      </c>
      <c r="J32" s="6" t="s">
        <v>259</v>
      </c>
      <c r="K32" s="6" t="s">
        <v>260</v>
      </c>
      <c r="L32" s="6" t="s">
        <v>261</v>
      </c>
      <c r="M32" s="6" t="s">
        <v>262</v>
      </c>
    </row>
    <row r="33" customFormat="false" ht="15" hidden="false" customHeight="false" outlineLevel="0" collapsed="false">
      <c r="A33" s="7" t="s">
        <v>117</v>
      </c>
      <c r="B33" s="16" t="n">
        <f aca="false">Data_AllPrograms!C6/Data_AllPrograms!B5</f>
        <v>1.07394957983193</v>
      </c>
      <c r="C33" s="16" t="n">
        <f aca="false">Data_AllPrograms!D6/Data_AllPrograms!C5</f>
        <v>1.00763358778626</v>
      </c>
      <c r="D33" s="16" t="n">
        <f aca="false">Data_AllPrograms!E6/Data_AllPrograms!D5</f>
        <v>0.983792544570503</v>
      </c>
      <c r="E33" s="16" t="n">
        <f aca="false">Data_AllPrograms!F6/Data_AllPrograms!E5</f>
        <v>1.0076103500761</v>
      </c>
      <c r="F33" s="16" t="n">
        <f aca="false">Data_AllPrograms!G6/Data_AllPrograms!F5</f>
        <v>0.998561151079137</v>
      </c>
      <c r="G33" s="16" t="n">
        <f aca="false">Data_AllPrograms!H6/Data_AllPrograms!G5</f>
        <v>0.97956204379562</v>
      </c>
      <c r="H33" s="16" t="n">
        <f aca="false">Data_AllPrograms!I6/Data_AllPrograms!H5</f>
        <v>1.03453453453453</v>
      </c>
      <c r="I33" s="16" t="n">
        <f aca="false">Data_AllPrograms!J6/Data_AllPrograms!I5</f>
        <v>1.01263823064771</v>
      </c>
      <c r="J33" s="16" t="n">
        <f aca="false">Data_AllPrograms!K6/Data_AllPrograms!J5</f>
        <v>1.21739130434783</v>
      </c>
      <c r="K33" s="16" t="n">
        <f aca="false">Data_AllPrograms!L6/Data_AllPrograms!K5</f>
        <v>0.997496871088861</v>
      </c>
      <c r="L33" s="16" t="n">
        <f aca="false">Data_AllPrograms!M6/Data_AllPrograms!L5</f>
        <v>0.980074719800747</v>
      </c>
      <c r="M33" s="16" t="n">
        <f aca="false">Data_AllPrograms!N6/Data_AllPrograms!M5</f>
        <v>0.989182692307692</v>
      </c>
    </row>
    <row r="34" customFormat="false" ht="15" hidden="false" customHeight="false" outlineLevel="0" collapsed="false">
      <c r="A34" s="7" t="s">
        <v>118</v>
      </c>
      <c r="B34" s="16" t="n">
        <f aca="false">Data_AllPrograms!C7/Data_AllPrograms!B6</f>
        <v>1.04051863857374</v>
      </c>
      <c r="C34" s="16" t="n">
        <f aca="false">Data_AllPrograms!D7/Data_AllPrograms!C6</f>
        <v>1.00782472613459</v>
      </c>
      <c r="D34" s="16" t="n">
        <f aca="false">Data_AllPrograms!E7/Data_AllPrograms!D6</f>
        <v>1.00151515151515</v>
      </c>
      <c r="E34" s="16" t="n">
        <f aca="false">Data_AllPrograms!F7/Data_AllPrograms!E6</f>
        <v>1.01153212520593</v>
      </c>
      <c r="F34" s="16" t="n">
        <f aca="false">Data_AllPrograms!G7/Data_AllPrograms!F6</f>
        <v>0.993957703927493</v>
      </c>
      <c r="G34" s="16" t="n">
        <f aca="false">Data_AllPrograms!H7/Data_AllPrograms!G6</f>
        <v>0.969740634005764</v>
      </c>
      <c r="H34" s="16" t="n">
        <f aca="false">Data_AllPrograms!I7/Data_AllPrograms!H6</f>
        <v>1.02235469448584</v>
      </c>
      <c r="I34" s="16" t="n">
        <f aca="false">Data_AllPrograms!J7/Data_AllPrograms!I6</f>
        <v>1.00435413642961</v>
      </c>
      <c r="J34" s="16" t="n">
        <f aca="false">Data_AllPrograms!K7/Data_AllPrograms!J6</f>
        <v>1.27769110764431</v>
      </c>
      <c r="K34" s="16" t="n">
        <f aca="false">Data_AllPrograms!L7/Data_AllPrograms!K6</f>
        <v>0.997536945812808</v>
      </c>
      <c r="L34" s="16" t="n">
        <f aca="false">Data_AllPrograms!M7/Data_AllPrograms!L6</f>
        <v>0.987452948557089</v>
      </c>
      <c r="M34" s="16" t="n">
        <f aca="false">Data_AllPrograms!N7/Data_AllPrograms!M6</f>
        <v>1.01778907242694</v>
      </c>
    </row>
    <row r="35" customFormat="false" ht="15" hidden="false" customHeight="false" outlineLevel="0" collapsed="false">
      <c r="A35" s="7" t="s">
        <v>119</v>
      </c>
      <c r="B35" s="16" t="n">
        <f aca="false">Data_AllPrograms!C8/Data_AllPrograms!B7</f>
        <v>1.05911330049261</v>
      </c>
      <c r="C35" s="16" t="n">
        <f aca="false">Data_AllPrograms!D8/Data_AllPrograms!C7</f>
        <v>1.02492211838006</v>
      </c>
      <c r="D35" s="16" t="n">
        <f aca="false">Data_AllPrograms!E8/Data_AllPrograms!D7</f>
        <v>1.02484472049689</v>
      </c>
      <c r="E35" s="16" t="n">
        <f aca="false">Data_AllPrograms!F8/Data_AllPrograms!E7</f>
        <v>1.03025718608169</v>
      </c>
      <c r="F35" s="16" t="n">
        <f aca="false">Data_AllPrograms!G8/Data_AllPrograms!F7</f>
        <v>1.04560260586319</v>
      </c>
      <c r="G35" s="16" t="n">
        <f aca="false">Data_AllPrograms!H8/Data_AllPrograms!G7</f>
        <v>1.00911854103343</v>
      </c>
      <c r="H35" s="16" t="n">
        <f aca="false">Data_AllPrograms!I8/Data_AllPrograms!H7</f>
        <v>1.0297176820208</v>
      </c>
      <c r="I35" s="16" t="n">
        <f aca="false">Data_AllPrograms!J8/Data_AllPrograms!I7</f>
        <v>1.00145772594752</v>
      </c>
      <c r="J35" s="16" t="n">
        <f aca="false">Data_AllPrograms!K8/Data_AllPrograms!J7</f>
        <v>1.20664739884393</v>
      </c>
      <c r="K35" s="16" t="n">
        <f aca="false">Data_AllPrograms!L8/Data_AllPrograms!K7</f>
        <v>0.989010989010989</v>
      </c>
      <c r="L35" s="16" t="n">
        <f aca="false">Data_AllPrograms!M8/Data_AllPrograms!L7</f>
        <v>0.938271604938272</v>
      </c>
      <c r="M35" s="16" t="n">
        <f aca="false">Data_AllPrograms!N8/Data_AllPrograms!M7</f>
        <v>1.00381194409149</v>
      </c>
    </row>
    <row r="36" customFormat="false" ht="15" hidden="false" customHeight="false" outlineLevel="0" collapsed="false">
      <c r="A36" s="7" t="s">
        <v>120</v>
      </c>
      <c r="B36" s="16" t="n">
        <f aca="false">Data_AllPrograms!C9/Data_AllPrograms!B8</f>
        <v>1.07535321821036</v>
      </c>
      <c r="C36" s="16" t="n">
        <f aca="false">Data_AllPrograms!D9/Data_AllPrograms!C8</f>
        <v>1.0093023255814</v>
      </c>
      <c r="D36" s="16" t="n">
        <f aca="false">Data_AllPrograms!E9/Data_AllPrograms!D8</f>
        <v>1.01671732522796</v>
      </c>
      <c r="E36" s="16" t="n">
        <f aca="false">Data_AllPrograms!F9/Data_AllPrograms!E8</f>
        <v>1.00757575757576</v>
      </c>
      <c r="F36" s="16" t="n">
        <f aca="false">Data_AllPrograms!G9/Data_AllPrograms!F8</f>
        <v>1.00881057268722</v>
      </c>
      <c r="G36" s="16" t="n">
        <f aca="false">Data_AllPrograms!H9/Data_AllPrograms!G8</f>
        <v>0.987538940809969</v>
      </c>
      <c r="H36" s="16" t="n">
        <f aca="false">Data_AllPrograms!I9/Data_AllPrograms!H8</f>
        <v>1.03012048192771</v>
      </c>
      <c r="I36" s="16" t="n">
        <f aca="false">Data_AllPrograms!J9/Data_AllPrograms!I8</f>
        <v>1.002886002886</v>
      </c>
      <c r="J36" s="16" t="n">
        <f aca="false">Data_AllPrograms!K9/Data_AllPrograms!J8</f>
        <v>1.21542940320233</v>
      </c>
      <c r="K36" s="16" t="n">
        <f aca="false">Data_AllPrograms!L9/Data_AllPrograms!K8</f>
        <v>1.02035928143713</v>
      </c>
      <c r="L36" s="16" t="n">
        <f aca="false">Data_AllPrograms!M9/Data_AllPrograms!L8</f>
        <v>0.950617283950617</v>
      </c>
      <c r="M36" s="16" t="n">
        <f aca="false">Data_AllPrograms!N9/Data_AllPrograms!M8</f>
        <v>1.02368421052632</v>
      </c>
    </row>
    <row r="37" customFormat="false" ht="15" hidden="false" customHeight="false" outlineLevel="0" collapsed="false">
      <c r="A37" s="7" t="s">
        <v>121</v>
      </c>
      <c r="B37" s="16" t="n">
        <f aca="false">Data_AllPrograms!C10/Data_AllPrograms!B9</f>
        <v>1.08373590982287</v>
      </c>
      <c r="C37" s="16" t="n">
        <f aca="false">Data_AllPrograms!D10/Data_AllPrograms!C9</f>
        <v>1.01897810218978</v>
      </c>
      <c r="D37" s="16" t="n">
        <f aca="false">Data_AllPrograms!E10/Data_AllPrograms!D9</f>
        <v>1.03993855606759</v>
      </c>
      <c r="E37" s="16" t="n">
        <f aca="false">Data_AllPrograms!F10/Data_AllPrograms!E9</f>
        <v>1.03288490284006</v>
      </c>
      <c r="F37" s="16" t="n">
        <f aca="false">Data_AllPrograms!G10/Data_AllPrograms!F9</f>
        <v>1.0390977443609</v>
      </c>
      <c r="G37" s="16" t="n">
        <f aca="false">Data_AllPrograms!H10/Data_AllPrograms!G9</f>
        <v>0.992721979621543</v>
      </c>
      <c r="H37" s="16" t="n">
        <f aca="false">Data_AllPrograms!I10/Data_AllPrograms!H9</f>
        <v>1.02523659305994</v>
      </c>
      <c r="I37" s="16" t="n">
        <f aca="false">Data_AllPrograms!J10/Data_AllPrograms!I9</f>
        <v>1.03801169590643</v>
      </c>
      <c r="J37" s="16" t="n">
        <f aca="false">Data_AllPrograms!K10/Data_AllPrograms!J9</f>
        <v>1.25179856115108</v>
      </c>
      <c r="K37" s="16" t="n">
        <f aca="false">Data_AllPrograms!L10/Data_AllPrograms!K9</f>
        <v>0.990419161676647</v>
      </c>
      <c r="L37" s="16" t="n">
        <f aca="false">Data_AllPrograms!M10/Data_AllPrograms!L9</f>
        <v>0.937793427230047</v>
      </c>
      <c r="M37" s="16" t="n">
        <f aca="false">Data_AllPrograms!N10/Data_AllPrograms!M9</f>
        <v>1.02207792207792</v>
      </c>
    </row>
    <row r="38" customFormat="false" ht="15" hidden="false" customHeight="false" outlineLevel="0" collapsed="false">
      <c r="A38" s="7" t="s">
        <v>122</v>
      </c>
      <c r="B38" s="16" t="n">
        <f aca="false">Data_AllPrograms!C11/Data_AllPrograms!B10</f>
        <v>1.05421686746988</v>
      </c>
      <c r="C38" s="16" t="n">
        <f aca="false">Data_AllPrograms!D11/Data_AllPrograms!C10</f>
        <v>1.06835066864785</v>
      </c>
      <c r="D38" s="16" t="n">
        <f aca="false">Data_AllPrograms!E11/Data_AllPrograms!D10</f>
        <v>1.01002865329513</v>
      </c>
      <c r="E38" s="16" t="n">
        <f aca="false">Data_AllPrograms!F11/Data_AllPrograms!E10</f>
        <v>1.0576070901034</v>
      </c>
      <c r="F38" s="16" t="n">
        <f aca="false">Data_AllPrograms!G11/Data_AllPrograms!F10</f>
        <v>1.04486251808973</v>
      </c>
      <c r="G38" s="16" t="n">
        <f aca="false">Data_AllPrograms!H11/Data_AllPrograms!G10</f>
        <v>1.02026049204052</v>
      </c>
      <c r="H38" s="16" t="n">
        <f aca="false">Data_AllPrograms!I11/Data_AllPrograms!H10</f>
        <v>1.06891495601173</v>
      </c>
      <c r="I38" s="16" t="n">
        <f aca="false">Data_AllPrograms!J11/Data_AllPrograms!I10</f>
        <v>1.04</v>
      </c>
      <c r="J38" s="16" t="n">
        <f aca="false">Data_AllPrograms!K11/Data_AllPrograms!J10</f>
        <v>1.28732394366197</v>
      </c>
      <c r="K38" s="16" t="n">
        <f aca="false">Data_AllPrograms!L11/Data_AllPrograms!K10</f>
        <v>0.991954022988506</v>
      </c>
      <c r="L38" s="16" t="n">
        <f aca="false">Data_AllPrograms!M11/Data_AllPrograms!L10</f>
        <v>0.968561064087062</v>
      </c>
      <c r="M38" s="16" t="n">
        <f aca="false">Data_AllPrograms!N11/Data_AllPrograms!M10</f>
        <v>0.986232790988736</v>
      </c>
    </row>
    <row r="39" customFormat="false" ht="15" hidden="false" customHeight="false" outlineLevel="0" collapsed="false">
      <c r="A39" s="7" t="s">
        <v>123</v>
      </c>
      <c r="B39" s="16" t="n">
        <f aca="false">Data_AllPrograms!C12/Data_AllPrograms!B11</f>
        <v>1.10509554140127</v>
      </c>
      <c r="C39" s="16" t="n">
        <f aca="false">Data_AllPrograms!D12/Data_AllPrograms!C11</f>
        <v>1.06857142857143</v>
      </c>
      <c r="D39" s="16" t="n">
        <f aca="false">Data_AllPrograms!E12/Data_AllPrograms!D11</f>
        <v>0.995827538247566</v>
      </c>
      <c r="E39" s="16" t="n">
        <f aca="false">Data_AllPrograms!F12/Data_AllPrograms!E11</f>
        <v>1.04255319148936</v>
      </c>
      <c r="F39" s="16" t="n">
        <f aca="false">Data_AllPrograms!G12/Data_AllPrograms!F11</f>
        <v>1.01815642458101</v>
      </c>
      <c r="G39" s="16" t="n">
        <f aca="false">Data_AllPrograms!H12/Data_AllPrograms!G11</f>
        <v>1.01523545706371</v>
      </c>
      <c r="H39" s="16" t="n">
        <f aca="false">Data_AllPrograms!I12/Data_AllPrograms!H11</f>
        <v>1.04397163120567</v>
      </c>
      <c r="I39" s="16" t="n">
        <f aca="false">Data_AllPrograms!J12/Data_AllPrograms!I11</f>
        <v>1.0082304526749</v>
      </c>
      <c r="J39" s="16" t="n">
        <f aca="false">Data_AllPrograms!K12/Data_AllPrograms!J11</f>
        <v>1.23816568047337</v>
      </c>
      <c r="K39" s="16" t="n">
        <f aca="false">Data_AllPrograms!L12/Data_AllPrograms!K11</f>
        <v>0.99671772428884</v>
      </c>
      <c r="L39" s="16" t="n">
        <f aca="false">Data_AllPrograms!M12/Data_AllPrograms!L11</f>
        <v>0.946697566628042</v>
      </c>
      <c r="M39" s="16" t="n">
        <f aca="false">Data_AllPrograms!N12/Data_AllPrograms!M11</f>
        <v>0.99250936329588</v>
      </c>
    </row>
    <row r="40" customFormat="false" ht="15" hidden="false" customHeight="false" outlineLevel="0" collapsed="false">
      <c r="A40" s="7" t="s">
        <v>124</v>
      </c>
      <c r="B40" s="16" t="n">
        <f aca="false">Data_AllPrograms!C13/Data_AllPrograms!B12</f>
        <v>1.02362204724409</v>
      </c>
      <c r="C40" s="16" t="n">
        <f aca="false">Data_AllPrograms!D13/Data_AllPrograms!C12</f>
        <v>0.995677233429395</v>
      </c>
      <c r="D40" s="16" t="n">
        <f aca="false">Data_AllPrograms!E13/Data_AllPrograms!D12</f>
        <v>1.02406417112299</v>
      </c>
      <c r="E40" s="16" t="n">
        <f aca="false">Data_AllPrograms!F13/Data_AllPrograms!E12</f>
        <v>1.01256983240223</v>
      </c>
      <c r="F40" s="16" t="n">
        <f aca="false">Data_AllPrograms!G13/Data_AllPrograms!F12</f>
        <v>1.03945578231293</v>
      </c>
      <c r="G40" s="16" t="n">
        <f aca="false">Data_AllPrograms!H13/Data_AllPrograms!G12</f>
        <v>0.973936899862826</v>
      </c>
      <c r="H40" s="16" t="n">
        <f aca="false">Data_AllPrograms!I13/Data_AllPrograms!H12</f>
        <v>1.02046384720327</v>
      </c>
      <c r="I40" s="16" t="n">
        <f aca="false">Data_AllPrograms!J13/Data_AllPrograms!I12</f>
        <v>1.02173913043478</v>
      </c>
      <c r="J40" s="16" t="n">
        <f aca="false">Data_AllPrograms!K13/Data_AllPrograms!J12</f>
        <v>1.19863945578231</v>
      </c>
      <c r="K40" s="16" t="n">
        <f aca="false">Data_AllPrograms!L13/Data_AllPrograms!K12</f>
        <v>1.00836320191159</v>
      </c>
      <c r="L40" s="16" t="n">
        <f aca="false">Data_AllPrograms!M13/Data_AllPrograms!L12</f>
        <v>0.961580680570801</v>
      </c>
      <c r="M40" s="16" t="n">
        <f aca="false">Data_AllPrograms!N13/Data_AllPrograms!M12</f>
        <v>0.952264381884945</v>
      </c>
    </row>
    <row r="41" customFormat="false" ht="15" hidden="false" customHeight="false" outlineLevel="0" collapsed="false">
      <c r="A41" s="7" t="s">
        <v>125</v>
      </c>
      <c r="B41" s="16" t="n">
        <f aca="false">Data_AllPrograms!C14/Data_AllPrograms!B13</f>
        <v>1.07591240875912</v>
      </c>
      <c r="C41" s="16" t="n">
        <f aca="false">Data_AllPrograms!D14/Data_AllPrograms!C13</f>
        <v>1.04615384615385</v>
      </c>
      <c r="D41" s="16" t="n">
        <f aca="false">Data_AllPrograms!E14/Data_AllPrograms!D13</f>
        <v>1.01736613603473</v>
      </c>
      <c r="E41" s="16" t="n">
        <f aca="false">Data_AllPrograms!F14/Data_AllPrograms!E13</f>
        <v>1.00783289817232</v>
      </c>
      <c r="F41" s="16" t="n">
        <f aca="false">Data_AllPrograms!G14/Data_AllPrograms!F13</f>
        <v>1.03172413793103</v>
      </c>
      <c r="G41" s="16" t="n">
        <f aca="false">Data_AllPrograms!H14/Data_AllPrograms!G13</f>
        <v>1.0065445026178</v>
      </c>
      <c r="H41" s="16" t="n">
        <f aca="false">Data_AllPrograms!I14/Data_AllPrograms!H13</f>
        <v>1.02676056338028</v>
      </c>
      <c r="I41" s="16" t="n">
        <f aca="false">Data_AllPrograms!J14/Data_AllPrograms!I13</f>
        <v>1.00401069518717</v>
      </c>
      <c r="J41" s="16" t="n">
        <f aca="false">Data_AllPrograms!K14/Data_AllPrograms!J13</f>
        <v>1.22207446808511</v>
      </c>
      <c r="K41" s="16" t="n">
        <f aca="false">Data_AllPrograms!L14/Data_AllPrograms!K13</f>
        <v>1.00908059023837</v>
      </c>
      <c r="L41" s="16" t="n">
        <f aca="false">Data_AllPrograms!M14/Data_AllPrograms!L13</f>
        <v>0.904028436018957</v>
      </c>
      <c r="M41" s="16" t="n">
        <f aca="false">Data_AllPrograms!N14/Data_AllPrograms!M13</f>
        <v>0.925799086757991</v>
      </c>
    </row>
    <row r="42" customFormat="false" ht="15" hidden="false" customHeight="false" outlineLevel="0" collapsed="false">
      <c r="A42" s="7" t="s">
        <v>126</v>
      </c>
      <c r="B42" s="16" t="n">
        <f aca="false">Data_AllPrograms!C15/Data_AllPrograms!B14</f>
        <v>0.997146932952924</v>
      </c>
      <c r="C42" s="16" t="n">
        <f aca="false">Data_AllPrograms!D15/Data_AllPrograms!C14</f>
        <v>1.01899592944369</v>
      </c>
      <c r="D42" s="16" t="n">
        <f aca="false">Data_AllPrograms!E15/Data_AllPrograms!D14</f>
        <v>0.998529411764706</v>
      </c>
      <c r="E42" s="16" t="n">
        <f aca="false">Data_AllPrograms!F15/Data_AllPrograms!E14</f>
        <v>1.01422475106686</v>
      </c>
      <c r="F42" s="16" t="n">
        <f aca="false">Data_AllPrograms!G15/Data_AllPrograms!F14</f>
        <v>1.01424870466321</v>
      </c>
      <c r="G42" s="16" t="n">
        <f aca="false">Data_AllPrograms!H15/Data_AllPrograms!G14</f>
        <v>0.997326203208556</v>
      </c>
      <c r="H42" s="16" t="n">
        <f aca="false">Data_AllPrograms!I15/Data_AllPrograms!H14</f>
        <v>0.984395318595579</v>
      </c>
      <c r="I42" s="16" t="n">
        <f aca="false">Data_AllPrograms!J15/Data_AllPrograms!I14</f>
        <v>0.997256515775034</v>
      </c>
      <c r="J42" s="16" t="n">
        <f aca="false">Data_AllPrograms!K15/Data_AllPrograms!J14</f>
        <v>1.2103861517976</v>
      </c>
      <c r="K42" s="16" t="n">
        <f aca="false">Data_AllPrograms!L15/Data_AllPrograms!K14</f>
        <v>0.983677910772579</v>
      </c>
      <c r="L42" s="16" t="n">
        <f aca="false">Data_AllPrograms!M15/Data_AllPrograms!L14</f>
        <v>0.898762654668167</v>
      </c>
      <c r="M42" s="16" t="n">
        <f aca="false">Data_AllPrograms!N15/Data_AllPrograms!M14</f>
        <v>0.947575360419397</v>
      </c>
    </row>
    <row r="43" customFormat="false" ht="15" hidden="false" customHeight="false" outlineLevel="0" collapsed="false">
      <c r="A43" s="7" t="s">
        <v>127</v>
      </c>
      <c r="B43" s="16" t="n">
        <f aca="false">Data_AllPrograms!C16/Data_AllPrograms!B15</f>
        <v>0.932795698924731</v>
      </c>
      <c r="C43" s="16" t="n">
        <f aca="false">Data_AllPrograms!D16/Data_AllPrograms!C15</f>
        <v>0.965665236051502</v>
      </c>
      <c r="D43" s="16" t="n">
        <f aca="false">Data_AllPrograms!E16/Data_AllPrograms!D15</f>
        <v>0.997336884154461</v>
      </c>
      <c r="E43" s="16" t="n">
        <f aca="false">Data_AllPrograms!F16/Data_AllPrograms!E15</f>
        <v>0.958762886597938</v>
      </c>
      <c r="F43" s="16" t="n">
        <f aca="false">Data_AllPrograms!G16/Data_AllPrograms!F15</f>
        <v>0.990182328190743</v>
      </c>
      <c r="G43" s="16" t="n">
        <f aca="false">Data_AllPrograms!H16/Data_AllPrograms!G15</f>
        <v>0.966794380587484</v>
      </c>
      <c r="H43" s="16" t="n">
        <f aca="false">Data_AllPrograms!I16/Data_AllPrograms!H15</f>
        <v>0.982573726541555</v>
      </c>
      <c r="I43" s="16" t="n">
        <f aca="false">Data_AllPrograms!J16/Data_AllPrograms!I15</f>
        <v>1</v>
      </c>
      <c r="J43" s="16" t="n">
        <f aca="false">Data_AllPrograms!K16/Data_AllPrograms!J15</f>
        <v>1.18844566712517</v>
      </c>
      <c r="K43" s="16" t="n">
        <f aca="false">Data_AllPrograms!L16/Data_AllPrograms!K15</f>
        <v>0.998899889988999</v>
      </c>
      <c r="L43" s="16" t="n">
        <f aca="false">Data_AllPrograms!M16/Data_AllPrograms!L15</f>
        <v>0.899336283185841</v>
      </c>
      <c r="M43" s="16" t="n">
        <f aca="false">Data_AllPrograms!N16/Data_AllPrograms!M15</f>
        <v>0.959949937421777</v>
      </c>
    </row>
    <row r="44" customFormat="false" ht="15" hidden="false" customHeight="false" outlineLevel="0" collapsed="false">
      <c r="A44" s="7" t="s">
        <v>128</v>
      </c>
      <c r="B44" s="16" t="n">
        <f aca="false">Data_AllPrograms!C17/Data_AllPrograms!B16</f>
        <v>1.07381370826011</v>
      </c>
      <c r="C44" s="16" t="n">
        <f aca="false">Data_AllPrograms!D17/Data_AllPrograms!C16</f>
        <v>0.978386167146974</v>
      </c>
      <c r="D44" s="16" t="n">
        <f aca="false">Data_AllPrograms!E17/Data_AllPrograms!D16</f>
        <v>0.983703703703704</v>
      </c>
      <c r="E44" s="16" t="n">
        <f aca="false">Data_AllPrograms!F17/Data_AllPrograms!E16</f>
        <v>0.977303070761015</v>
      </c>
      <c r="F44" s="16" t="n">
        <f aca="false">Data_AllPrograms!G17/Data_AllPrograms!F16</f>
        <v>0.972350230414747</v>
      </c>
      <c r="G44" s="16" t="n">
        <f aca="false">Data_AllPrograms!H17/Data_AllPrograms!G16</f>
        <v>1.00991501416431</v>
      </c>
      <c r="H44" s="16" t="n">
        <f aca="false">Data_AllPrograms!I17/Data_AllPrograms!H16</f>
        <v>1</v>
      </c>
      <c r="I44" s="16" t="n">
        <f aca="false">Data_AllPrograms!J17/Data_AllPrograms!I16</f>
        <v>1</v>
      </c>
      <c r="J44" s="16" t="n">
        <f aca="false">Data_AllPrograms!K17/Data_AllPrograms!J16</f>
        <v>1.221928665786</v>
      </c>
      <c r="K44" s="16" t="n">
        <f aca="false">Data_AllPrograms!L17/Data_AllPrograms!K16</f>
        <v>0.978009259259259</v>
      </c>
      <c r="L44" s="16" t="n">
        <f aca="false">Data_AllPrograms!M17/Data_AllPrograms!L16</f>
        <v>0.926211453744493</v>
      </c>
      <c r="M44" s="16" t="n">
        <f aca="false">Data_AllPrograms!N17/Data_AllPrograms!M16</f>
        <v>1.01845018450185</v>
      </c>
    </row>
    <row r="45" customFormat="false" ht="15" hidden="false" customHeight="false" outlineLevel="0" collapsed="false">
      <c r="A45" s="7" t="s">
        <v>129</v>
      </c>
      <c r="B45" s="16" t="n">
        <f aca="false">Data_AllPrograms!C18/Data_AllPrograms!B17</f>
        <v>1.05518394648829</v>
      </c>
      <c r="C45" s="16" t="n">
        <f aca="false">Data_AllPrograms!D18/Data_AllPrograms!C17</f>
        <v>1.02291325695581</v>
      </c>
      <c r="D45" s="16" t="n">
        <f aca="false">Data_AllPrograms!E18/Data_AllPrograms!D17</f>
        <v>1.01030927835052</v>
      </c>
      <c r="E45" s="16" t="n">
        <f aca="false">Data_AllPrograms!F18/Data_AllPrograms!E17</f>
        <v>1.00903614457831</v>
      </c>
      <c r="F45" s="16" t="n">
        <f aca="false">Data_AllPrograms!G18/Data_AllPrograms!F17</f>
        <v>1.0396174863388</v>
      </c>
      <c r="G45" s="16" t="n">
        <f aca="false">Data_AllPrograms!H18/Data_AllPrograms!G17</f>
        <v>1.02369668246445</v>
      </c>
      <c r="H45" s="16" t="n">
        <f aca="false">Data_AllPrograms!I18/Data_AllPrograms!H17</f>
        <v>1.01262272089762</v>
      </c>
      <c r="I45" s="16" t="n">
        <f aca="false">Data_AllPrograms!J18/Data_AllPrograms!I17</f>
        <v>0.993394980184941</v>
      </c>
      <c r="J45" s="16" t="n">
        <f aca="false">Data_AllPrograms!K18/Data_AllPrograms!J17</f>
        <v>1.17735334242838</v>
      </c>
      <c r="K45" s="16" t="n">
        <f aca="false">Data_AllPrograms!L18/Data_AllPrograms!K17</f>
        <v>0.972972972972973</v>
      </c>
      <c r="L45" s="16" t="n">
        <f aca="false">Data_AllPrograms!M18/Data_AllPrograms!L17</f>
        <v>0.933727810650888</v>
      </c>
      <c r="M45" s="16" t="n">
        <f aca="false">Data_AllPrograms!N18/Data_AllPrograms!M17</f>
        <v>0.934601664684899</v>
      </c>
    </row>
    <row r="46" customFormat="false" ht="15" hidden="false" customHeight="false" outlineLevel="0" collapsed="false">
      <c r="A46" s="7" t="s">
        <v>130</v>
      </c>
      <c r="B46" s="16" t="n">
        <f aca="false">Data_AllPrograms!C19/Data_AllPrograms!B18</f>
        <v>1.0891265597148</v>
      </c>
      <c r="C46" s="16" t="n">
        <f aca="false">Data_AllPrograms!D19/Data_AllPrograms!C18</f>
        <v>1.04437400950872</v>
      </c>
      <c r="D46" s="16" t="n">
        <f aca="false">Data_AllPrograms!E19/Data_AllPrograms!D18</f>
        <v>1.032</v>
      </c>
      <c r="E46" s="16" t="n">
        <f aca="false">Data_AllPrograms!F19/Data_AllPrograms!E18</f>
        <v>1.01749271137026</v>
      </c>
      <c r="F46" s="16" t="n">
        <f aca="false">Data_AllPrograms!G19/Data_AllPrograms!F18</f>
        <v>0.98955223880597</v>
      </c>
      <c r="G46" s="16" t="n">
        <f aca="false">Data_AllPrograms!H19/Data_AllPrograms!G18</f>
        <v>1.00131406044678</v>
      </c>
      <c r="H46" s="16" t="n">
        <f aca="false">Data_AllPrograms!I19/Data_AllPrograms!H18</f>
        <v>1.08333333333333</v>
      </c>
      <c r="I46" s="16" t="n">
        <f aca="false">Data_AllPrograms!J19/Data_AllPrograms!I18</f>
        <v>1.00138504155125</v>
      </c>
      <c r="J46" s="16" t="n">
        <f aca="false">Data_AllPrograms!K19/Data_AllPrograms!J18</f>
        <v>1.19414893617021</v>
      </c>
      <c r="K46" s="16" t="n">
        <f aca="false">Data_AllPrograms!L19/Data_AllPrograms!K18</f>
        <v>1.03012746234067</v>
      </c>
      <c r="L46" s="16" t="n">
        <f aca="false">Data_AllPrograms!M19/Data_AllPrograms!L18</f>
        <v>0.956666666666667</v>
      </c>
      <c r="M46" s="16" t="n">
        <f aca="false">Data_AllPrograms!N19/Data_AllPrograms!M18</f>
        <v>0.922686945500634</v>
      </c>
    </row>
    <row r="47" customFormat="false" ht="15" hidden="false" customHeight="false" outlineLevel="0" collapsed="false">
      <c r="A47" s="7" t="s">
        <v>131</v>
      </c>
      <c r="B47" s="16" t="n">
        <f aca="false">Data_AllPrograms!C20/Data_AllPrograms!B19</f>
        <v>1.11296296296296</v>
      </c>
      <c r="C47" s="16" t="n">
        <f aca="false">Data_AllPrograms!D20/Data_AllPrograms!C19</f>
        <v>1.01800327332242</v>
      </c>
      <c r="D47" s="16" t="n">
        <f aca="false">Data_AllPrograms!E20/Data_AllPrograms!D19</f>
        <v>1.0257966616085</v>
      </c>
      <c r="E47" s="16" t="n">
        <f aca="false">Data_AllPrograms!F20/Data_AllPrograms!E19</f>
        <v>1.04496124031008</v>
      </c>
      <c r="F47" s="16" t="n">
        <f aca="false">Data_AllPrograms!G20/Data_AllPrograms!F19</f>
        <v>1.02292263610315</v>
      </c>
      <c r="G47" s="16" t="n">
        <f aca="false">Data_AllPrograms!H20/Data_AllPrograms!G19</f>
        <v>1.06485671191554</v>
      </c>
      <c r="H47" s="16" t="n">
        <f aca="false">Data_AllPrograms!I20/Data_AllPrograms!H19</f>
        <v>1</v>
      </c>
      <c r="I47" s="16" t="n">
        <f aca="false">Data_AllPrograms!J20/Data_AllPrograms!I19</f>
        <v>1.02564102564103</v>
      </c>
      <c r="J47" s="16" t="n">
        <f aca="false">Data_AllPrograms!K20/Data_AllPrograms!J19</f>
        <v>1.25034578146611</v>
      </c>
      <c r="K47" s="16" t="n">
        <f aca="false">Data_AllPrograms!L20/Data_AllPrograms!K19</f>
        <v>1.02004454342984</v>
      </c>
      <c r="L47" s="16" t="n">
        <f aca="false">Data_AllPrograms!M20/Data_AllPrograms!L19</f>
        <v>0.957255343082115</v>
      </c>
      <c r="M47" s="16" t="n">
        <f aca="false">Data_AllPrograms!N20/Data_AllPrograms!M19</f>
        <v>0.950058072009292</v>
      </c>
    </row>
    <row r="48" customFormat="false" ht="15" hidden="false" customHeight="false" outlineLevel="0" collapsed="false">
      <c r="A48" s="7" t="s">
        <v>132</v>
      </c>
      <c r="B48" s="16" t="n">
        <f aca="false">Data_AllPrograms!C21/Data_AllPrograms!B20</f>
        <v>1.02592592592593</v>
      </c>
      <c r="C48" s="16" t="n">
        <f aca="false">Data_AllPrograms!D21/Data_AllPrograms!C20</f>
        <v>1.01331114808652</v>
      </c>
      <c r="D48" s="16" t="n">
        <f aca="false">Data_AllPrograms!E21/Data_AllPrograms!D20</f>
        <v>1.04983922829582</v>
      </c>
      <c r="E48" s="16" t="n">
        <f aca="false">Data_AllPrograms!F21/Data_AllPrograms!E20</f>
        <v>1.01627218934911</v>
      </c>
      <c r="F48" s="16" t="n">
        <f aca="false">Data_AllPrograms!G21/Data_AllPrograms!F20</f>
        <v>1.02373887240356</v>
      </c>
      <c r="G48" s="16" t="n">
        <f aca="false">Data_AllPrograms!H21/Data_AllPrograms!G20</f>
        <v>1.00840336134454</v>
      </c>
      <c r="H48" s="16" t="n">
        <f aca="false">Data_AllPrograms!I21/Data_AllPrograms!H20</f>
        <v>1.01416430594901</v>
      </c>
      <c r="I48" s="16" t="n">
        <f aca="false">Data_AllPrograms!J21/Data_AllPrograms!I20</f>
        <v>1.01049868766404</v>
      </c>
      <c r="J48" s="16" t="n">
        <f aca="false">Data_AllPrograms!K21/Data_AllPrograms!J20</f>
        <v>1.20416666666667</v>
      </c>
      <c r="K48" s="16" t="n">
        <f aca="false">Data_AllPrograms!L21/Data_AllPrograms!K20</f>
        <v>1.01327433628319</v>
      </c>
      <c r="L48" s="16" t="n">
        <f aca="false">Data_AllPrograms!M21/Data_AllPrograms!L20</f>
        <v>0.968340611353712</v>
      </c>
      <c r="M48" s="16" t="n">
        <f aca="false">Data_AllPrograms!N21/Data_AllPrograms!M20</f>
        <v>0.949471210340776</v>
      </c>
    </row>
    <row r="49" customFormat="false" ht="15" hidden="false" customHeight="false" outlineLevel="0" collapsed="false">
      <c r="A49" s="7" t="s">
        <v>133</v>
      </c>
      <c r="B49" s="16" t="n">
        <f aca="false">Data_AllPrograms!C22/Data_AllPrograms!B21</f>
        <v>1.07198443579767</v>
      </c>
      <c r="C49" s="16" t="n">
        <f aca="false">Data_AllPrograms!D22/Data_AllPrograms!C21</f>
        <v>1.03068592057762</v>
      </c>
      <c r="D49" s="16" t="n">
        <f aca="false">Data_AllPrograms!E22/Data_AllPrograms!D21</f>
        <v>1.01642036124795</v>
      </c>
      <c r="E49" s="16" t="n">
        <f aca="false">Data_AllPrograms!F22/Data_AllPrograms!E21</f>
        <v>1.01837672281776</v>
      </c>
      <c r="F49" s="16" t="n">
        <f aca="false">Data_AllPrograms!G22/Data_AllPrograms!F21</f>
        <v>1.01310043668122</v>
      </c>
      <c r="G49" s="16" t="n">
        <f aca="false">Data_AllPrograms!H22/Data_AllPrograms!G21</f>
        <v>1.01159420289855</v>
      </c>
      <c r="H49" s="16" t="n">
        <f aca="false">Data_AllPrograms!I22/Data_AllPrograms!H21</f>
        <v>1.02916666666667</v>
      </c>
      <c r="I49" s="16" t="n">
        <f aca="false">Data_AllPrograms!J22/Data_AllPrograms!I21</f>
        <v>1.01256983240223</v>
      </c>
      <c r="J49" s="16" t="n">
        <f aca="false">Data_AllPrograms!K22/Data_AllPrograms!J21</f>
        <v>1.21038961038961</v>
      </c>
      <c r="K49" s="16" t="n">
        <f aca="false">Data_AllPrograms!L22/Data_AllPrograms!K21</f>
        <v>0.995386389850058</v>
      </c>
      <c r="L49" s="16" t="n">
        <f aca="false">Data_AllPrograms!M22/Data_AllPrograms!L21</f>
        <v>0.973799126637555</v>
      </c>
      <c r="M49" s="16" t="n">
        <f aca="false">Data_AllPrograms!N22/Data_AllPrograms!M21</f>
        <v>0.961668545659527</v>
      </c>
    </row>
    <row r="51" customFormat="false" ht="15" hidden="false" customHeight="false" outlineLevel="0" collapsed="false">
      <c r="A51" s="11" t="s">
        <v>250</v>
      </c>
      <c r="B51" s="16" t="n">
        <f aca="false">AVERAGE(B33:B42)</f>
        <v>1.05886644447588</v>
      </c>
      <c r="C51" s="16" t="n">
        <f aca="false">AVERAGE(C33:C42)</f>
        <v>1.02664099663183</v>
      </c>
      <c r="D51" s="16" t="n">
        <f aca="false">AVERAGE(D33:D42)</f>
        <v>1.01126242083432</v>
      </c>
      <c r="E51" s="16" t="n">
        <f aca="false">AVERAGE(E33:E42)</f>
        <v>1.02246480850137</v>
      </c>
      <c r="F51" s="16" t="n">
        <f aca="false">AVERAGE(F33:F42)</f>
        <v>1.02344773454959</v>
      </c>
      <c r="G51" s="16" t="n">
        <f aca="false">AVERAGE(G33:G42)</f>
        <v>0.995198569405975</v>
      </c>
      <c r="H51" s="16" t="n">
        <f aca="false">AVERAGE(H33:H42)</f>
        <v>1.02864703024254</v>
      </c>
      <c r="I51" s="16" t="n">
        <f aca="false">AVERAGE(I33:I42)</f>
        <v>1.01305845858892</v>
      </c>
      <c r="J51" s="16" t="n">
        <f aca="false">AVERAGE(J33:J42)</f>
        <v>1.23255474749898</v>
      </c>
      <c r="K51" s="16" t="n">
        <f aca="false">AVERAGE(K33:K42)</f>
        <v>0.998461669922631</v>
      </c>
      <c r="L51" s="16" t="n">
        <f aca="false">AVERAGE(L33:L42)</f>
        <v>0.94738403864498</v>
      </c>
      <c r="M51" s="16" t="n">
        <f aca="false">AVERAGE(M33:M42)</f>
        <v>0.98609268247773</v>
      </c>
    </row>
    <row r="52" customFormat="false" ht="15" hidden="false" customHeight="false" outlineLevel="0" collapsed="false">
      <c r="A52" s="11" t="s">
        <v>251</v>
      </c>
      <c r="B52" s="16" t="n">
        <f aca="false">STDEV(B33:B42)</f>
        <v>0.0315441250250843</v>
      </c>
      <c r="C52" s="16" t="n">
        <f aca="false">STDEV(C33:C42)</f>
        <v>0.0257626958490137</v>
      </c>
      <c r="D52" s="16" t="n">
        <f aca="false">STDEV(D33:D42)</f>
        <v>0.016630582242731</v>
      </c>
      <c r="E52" s="16" t="n">
        <f aca="false">STDEV(E33:E42)</f>
        <v>0.0174788343009023</v>
      </c>
      <c r="F52" s="16" t="n">
        <f aca="false">STDEV(F33:F42)</f>
        <v>0.0192497650564484</v>
      </c>
      <c r="G52" s="16" t="n">
        <f aca="false">STDEV(G33:G42)</f>
        <v>0.0175311433241244</v>
      </c>
      <c r="H52" s="16" t="n">
        <f aca="false">STDEV(H33:H42)</f>
        <v>0.0210139929542547</v>
      </c>
      <c r="I52" s="16" t="n">
        <f aca="false">STDEV(I33:I42)</f>
        <v>0.0152488086926981</v>
      </c>
      <c r="J52" s="16" t="n">
        <f aca="false">STDEV(J33:J42)</f>
        <v>0.030522652484545</v>
      </c>
      <c r="K52" s="16" t="n">
        <f aca="false">STDEV(K33:K42)</f>
        <v>0.0111057582866274</v>
      </c>
      <c r="L52" s="16" t="n">
        <f aca="false">STDEV(L33:L42)</f>
        <v>0.0293520733278881</v>
      </c>
      <c r="M52" s="16" t="n">
        <f aca="false">STDEV(M33:M42)</f>
        <v>0.0338963962461473</v>
      </c>
    </row>
    <row r="53" customFormat="false" ht="15" hidden="false" customHeight="false" outlineLevel="0" collapsed="false">
      <c r="A53" s="11" t="s">
        <v>252</v>
      </c>
      <c r="B53" s="16" t="n">
        <f aca="false">AVERAGE(B45:B49)</f>
        <v>1.07103676617793</v>
      </c>
      <c r="C53" s="16" t="n">
        <f aca="false">AVERAGE(C45:C49)</f>
        <v>1.02585752169022</v>
      </c>
      <c r="D53" s="16" t="n">
        <f aca="false">AVERAGE(D45:D49)</f>
        <v>1.02687310590056</v>
      </c>
      <c r="E53" s="16" t="n">
        <f aca="false">AVERAGE(E45:E49)</f>
        <v>1.02122780168511</v>
      </c>
      <c r="F53" s="16" t="n">
        <f aca="false">AVERAGE(F45:F49)</f>
        <v>1.01778633406654</v>
      </c>
      <c r="G53" s="16" t="n">
        <f aca="false">AVERAGE(G45:G49)</f>
        <v>1.02197300381397</v>
      </c>
      <c r="H53" s="16" t="n">
        <f aca="false">AVERAGE(H45:H49)</f>
        <v>1.02785740536932</v>
      </c>
      <c r="I53" s="16" t="n">
        <f aca="false">AVERAGE(I45:I49)</f>
        <v>1.0086979134887</v>
      </c>
      <c r="J53" s="16" t="n">
        <f aca="false">AVERAGE(J45:J49)</f>
        <v>1.2072808674242</v>
      </c>
      <c r="K53" s="16" t="n">
        <f aca="false">AVERAGE(K45:K49)</f>
        <v>1.00636114097535</v>
      </c>
      <c r="L53" s="16" t="n">
        <f aca="false">AVERAGE(L45:L49)</f>
        <v>0.957957911678187</v>
      </c>
      <c r="M53" s="16" t="n">
        <f aca="false">AVERAGE(M45:M49)</f>
        <v>0.943697287639025</v>
      </c>
    </row>
    <row r="54" customFormat="false" ht="15" hidden="false" customHeight="false" outlineLevel="0" collapsed="false">
      <c r="A54" s="11" t="s">
        <v>253</v>
      </c>
      <c r="B54" s="16" t="n">
        <f aca="false">STDEV(B45:B49)</f>
        <v>0.0330614748806137</v>
      </c>
      <c r="C54" s="16" t="n">
        <f aca="false">STDEV(C45:C49)</f>
        <v>0.0121854745476043</v>
      </c>
      <c r="D54" s="16" t="n">
        <f aca="false">STDEV(D45:D49)</f>
        <v>0.0153175292326731</v>
      </c>
      <c r="E54" s="16" t="n">
        <f aca="false">STDEV(E45:E49)</f>
        <v>0.0137708955406628</v>
      </c>
      <c r="F54" s="16" t="n">
        <f aca="false">STDEV(F45:F49)</f>
        <v>0.0184223728811476</v>
      </c>
      <c r="G54" s="16" t="n">
        <f aca="false">STDEV(G45:G49)</f>
        <v>0.0253013346232431</v>
      </c>
      <c r="H54" s="16" t="n">
        <f aca="false">STDEV(H45:H49)</f>
        <v>0.0326914528784309</v>
      </c>
      <c r="I54" s="16" t="n">
        <f aca="false">STDEV(I45:I49)</f>
        <v>0.0121753999603991</v>
      </c>
      <c r="J54" s="16" t="n">
        <f aca="false">STDEV(J45:J49)</f>
        <v>0.0271203508525226</v>
      </c>
      <c r="K54" s="16" t="n">
        <f aca="false">STDEV(K45:K49)</f>
        <v>0.0225559345192831</v>
      </c>
      <c r="L54" s="16" t="n">
        <f aca="false">STDEV(L45:L49)</f>
        <v>0.0153948307561835</v>
      </c>
      <c r="M54" s="16" t="n">
        <f aca="false">STDEV(M45:M49)</f>
        <v>0.015173403620366</v>
      </c>
    </row>
    <row r="55" customFormat="false" ht="15" hidden="false" customHeight="false" outlineLevel="0" collapsed="false">
      <c r="A55" s="11" t="s">
        <v>254</v>
      </c>
      <c r="B55" s="15" t="n">
        <f aca="false">TTEST(B33:B42,B45:B49,2,3)</f>
        <v>0.514873186810787</v>
      </c>
      <c r="C55" s="15" t="n">
        <f aca="false">TTEST(C33:C42,C45:C49,2,3)</f>
        <v>0.937506839266461</v>
      </c>
      <c r="D55" s="15" t="n">
        <f aca="false">TTEST(D33:D42,D45:D49,2,3)</f>
        <v>0.105068694907149</v>
      </c>
      <c r="E55" s="15" t="n">
        <f aca="false">TTEST(E33:E42,E45:E49,2,3)</f>
        <v>0.88410852546249</v>
      </c>
      <c r="F55" s="15" t="n">
        <f aca="false">TTEST(F33:F42,F45:F49,2,3)</f>
        <v>0.594815125199114</v>
      </c>
      <c r="G55" s="15" t="n">
        <f aca="false">TTEST(G33:G42,G45:G49,2,3)</f>
        <v>0.0777739636087409</v>
      </c>
      <c r="H55" s="15" t="n">
        <f aca="false">TTEST(H33:H42,H45:H49,2,3)</f>
        <v>0.962457660295681</v>
      </c>
      <c r="I55" s="15" t="n">
        <f aca="false">TTEST(I33:I42,I45:I49,2,3)</f>
        <v>0.562156099255299</v>
      </c>
      <c r="J55" s="15" t="n">
        <f aca="false">TTEST(J33:J42,J45:J49,2,3)</f>
        <v>0.137218947358782</v>
      </c>
      <c r="K55" s="15" t="n">
        <f aca="false">TTEST(K33:K42,K45:K49,2,3)</f>
        <v>0.492826784886251</v>
      </c>
      <c r="L55" s="15" t="n">
        <f aca="false">TTEST(L33:L42,L45:L49,2,3)</f>
        <v>0.3770401552234</v>
      </c>
      <c r="M55" s="15" t="n">
        <f aca="false">TTEST(M33:M42,M45:M49,2,3)</f>
        <v>0.0053179733572587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5"/>
    <col collapsed="false" customWidth="true" hidden="false" outlineLevel="0" max="7" min="4" style="0" width="14"/>
  </cols>
  <sheetData>
    <row r="1" customFormat="false" ht="16.15" hidden="false" customHeight="false" outlineLevel="0" collapsed="false">
      <c r="A1" s="4" t="s">
        <v>263</v>
      </c>
    </row>
    <row r="2" customFormat="false" ht="15" hidden="false" customHeight="false" outlineLevel="0" collapsed="false">
      <c r="A2" s="5" t="s">
        <v>264</v>
      </c>
    </row>
    <row r="3" customFormat="false" ht="15" hidden="false" customHeight="false" outlineLevel="0" collapsed="false">
      <c r="A3" s="5" t="s">
        <v>265</v>
      </c>
    </row>
    <row r="4" customFormat="false" ht="15" hidden="false" customHeight="false" outlineLevel="0" collapsed="false">
      <c r="A4" s="5" t="s">
        <v>266</v>
      </c>
    </row>
    <row r="5" customFormat="false" ht="15" hidden="false" customHeight="false" outlineLevel="0" collapsed="false">
      <c r="A5" s="5" t="s">
        <v>267</v>
      </c>
    </row>
    <row r="6" customFormat="false" ht="15" hidden="false" customHeight="false" outlineLevel="0" collapsed="false">
      <c r="A6" s="5" t="s">
        <v>268</v>
      </c>
    </row>
    <row r="7" customFormat="false" ht="15" hidden="false" customHeight="false" outlineLevel="0" collapsed="false">
      <c r="A7" s="5" t="s">
        <v>269</v>
      </c>
    </row>
    <row r="9" customFormat="false" ht="15" hidden="false" customHeight="false" outlineLevel="0" collapsed="false">
      <c r="A9" s="11" t="s">
        <v>270</v>
      </c>
    </row>
    <row r="10" customFormat="false" ht="39.55" hidden="false" customHeight="false" outlineLevel="0" collapsed="false">
      <c r="A10" s="6" t="s">
        <v>271</v>
      </c>
      <c r="B10" s="6" t="s">
        <v>250</v>
      </c>
      <c r="C10" s="6" t="s">
        <v>252</v>
      </c>
      <c r="D10" s="6" t="s">
        <v>272</v>
      </c>
      <c r="E10" s="6" t="s">
        <v>273</v>
      </c>
      <c r="F10" s="6" t="s">
        <v>274</v>
      </c>
      <c r="G10" s="6" t="s">
        <v>275</v>
      </c>
    </row>
    <row r="11" customFormat="false" ht="15" hidden="false" customHeight="false" outlineLevel="0" collapsed="false">
      <c r="A11" s="7" t="s">
        <v>245</v>
      </c>
      <c r="B11" s="16" t="n">
        <v>1.0531106532649</v>
      </c>
      <c r="C11" s="16" t="n">
        <v>1.06857652093159</v>
      </c>
      <c r="D11" s="17" t="n">
        <v>-0.497763224145217</v>
      </c>
      <c r="E11" s="15" t="n">
        <v>0.414349850055125</v>
      </c>
      <c r="F11" s="15" t="n">
        <v>0.414349850055125</v>
      </c>
      <c r="G11" s="15" t="n">
        <v>0.43075</v>
      </c>
    </row>
    <row r="12" customFormat="false" ht="15" hidden="false" customHeight="false" outlineLevel="0" collapsed="false">
      <c r="A12" s="7" t="s">
        <v>246</v>
      </c>
      <c r="B12" s="16" t="n">
        <v>1.02631116249691</v>
      </c>
      <c r="C12" s="16" t="n">
        <v>1.02404895125028</v>
      </c>
      <c r="D12" s="17" t="n">
        <v>-0.00404213735099766</v>
      </c>
      <c r="E12" s="15" t="n">
        <v>0.856451162026728</v>
      </c>
      <c r="F12" s="15" t="n">
        <v>0.856451162026728</v>
      </c>
      <c r="G12" s="15" t="n">
        <v>0.8832</v>
      </c>
    </row>
    <row r="13" customFormat="false" ht="15" hidden="false" customHeight="false" outlineLevel="0" collapsed="false">
      <c r="A13" s="7" t="s">
        <v>247</v>
      </c>
      <c r="B13" s="16" t="n">
        <v>1.01057636019575</v>
      </c>
      <c r="C13" s="16" t="n">
        <v>1.03567763936923</v>
      </c>
      <c r="D13" s="17" t="n">
        <v>-0.0215272677446195</v>
      </c>
      <c r="E13" s="15" t="n">
        <v>0.0572938944800338</v>
      </c>
      <c r="F13" s="15" t="n">
        <v>0.0572938944800338</v>
      </c>
      <c r="G13" s="15" t="n">
        <v>0.05765</v>
      </c>
    </row>
    <row r="14" customFormat="false" ht="15" hidden="false" customHeight="false" outlineLevel="0" collapsed="false">
      <c r="A14" s="7" t="s">
        <v>248</v>
      </c>
      <c r="B14" s="16" t="n">
        <v>1.02394347429259</v>
      </c>
      <c r="C14" s="16" t="n">
        <v>1.03533536961824</v>
      </c>
      <c r="D14" s="17" t="n">
        <v>-0.172303803195449</v>
      </c>
      <c r="E14" s="15" t="n">
        <v>0.453242811324108</v>
      </c>
      <c r="F14" s="15" t="n">
        <v>0.453242811324108</v>
      </c>
      <c r="G14" s="15" t="n">
        <v>0.36735</v>
      </c>
    </row>
    <row r="15" customFormat="false" ht="15" hidden="false" customHeight="false" outlineLevel="0" collapsed="false">
      <c r="A15" s="7" t="s">
        <v>249</v>
      </c>
      <c r="B15" s="16" t="n">
        <v>1.02404180077317</v>
      </c>
      <c r="C15" s="16" t="n">
        <v>1.02641221237803</v>
      </c>
      <c r="D15" s="17" t="n">
        <v>-0.28678770046716</v>
      </c>
      <c r="E15" s="15" t="n">
        <v>0.908970988958654</v>
      </c>
      <c r="F15" s="15" t="n">
        <v>0.908970988958654</v>
      </c>
      <c r="G15" s="15" t="n">
        <v>0.88435</v>
      </c>
    </row>
    <row r="16" customFormat="false" ht="15" hidden="false" customHeight="false" outlineLevel="0" collapsed="false">
      <c r="A16" s="11" t="s">
        <v>276</v>
      </c>
      <c r="D16" s="18" t="n">
        <f aca="false">AVERAGE(D11:D15)</f>
        <v>-0.196484826580689</v>
      </c>
    </row>
    <row r="18" customFormat="false" ht="15" hidden="false" customHeight="false" outlineLevel="0" collapsed="false">
      <c r="A18" s="11" t="s">
        <v>277</v>
      </c>
    </row>
    <row r="19" customFormat="false" ht="39.55" hidden="false" customHeight="false" outlineLevel="0" collapsed="false">
      <c r="A19" s="6" t="s">
        <v>271</v>
      </c>
      <c r="B19" s="6" t="s">
        <v>250</v>
      </c>
      <c r="C19" s="6" t="s">
        <v>252</v>
      </c>
      <c r="D19" s="6" t="s">
        <v>272</v>
      </c>
      <c r="E19" s="6" t="s">
        <v>273</v>
      </c>
      <c r="F19" s="6" t="s">
        <v>274</v>
      </c>
      <c r="G19" s="6" t="s">
        <v>275</v>
      </c>
    </row>
    <row r="20" customFormat="false" ht="15" hidden="false" customHeight="false" outlineLevel="0" collapsed="false">
      <c r="A20" s="7" t="s">
        <v>245</v>
      </c>
      <c r="B20" s="16" t="n">
        <v>1.05886644447588</v>
      </c>
      <c r="C20" s="16" t="n">
        <v>1.07103676617793</v>
      </c>
      <c r="D20" s="17" t="n">
        <v>-0.370836652951018</v>
      </c>
      <c r="E20" s="15" t="n">
        <v>0.514873186810778</v>
      </c>
      <c r="F20" s="15" t="n">
        <v>0.514873186810778</v>
      </c>
      <c r="G20" s="15" t="n">
        <v>0.4994</v>
      </c>
    </row>
    <row r="21" customFormat="false" ht="15" hidden="false" customHeight="false" outlineLevel="0" collapsed="false">
      <c r="A21" s="7" t="s">
        <v>246</v>
      </c>
      <c r="B21" s="16" t="n">
        <v>1.02664099663183</v>
      </c>
      <c r="C21" s="16" t="n">
        <v>1.02585752169022</v>
      </c>
      <c r="D21" s="17" t="n">
        <v>-0.0352853506267944</v>
      </c>
      <c r="E21" s="15" t="n">
        <v>0.937506839266454</v>
      </c>
      <c r="F21" s="15" t="n">
        <v>0.937506839266454</v>
      </c>
      <c r="G21" s="15" t="n">
        <v>0.95215</v>
      </c>
    </row>
    <row r="22" customFormat="false" ht="15" hidden="false" customHeight="false" outlineLevel="0" collapsed="false">
      <c r="A22" s="7" t="s">
        <v>247</v>
      </c>
      <c r="B22" s="16" t="n">
        <v>1.01126242083432</v>
      </c>
      <c r="C22" s="16" t="n">
        <v>1.02687310590056</v>
      </c>
      <c r="D22" s="17" t="n">
        <v>-0.0591795852937183</v>
      </c>
      <c r="E22" s="15" t="n">
        <v>0.105068694906958</v>
      </c>
      <c r="F22" s="15" t="n">
        <v>0.105068694906958</v>
      </c>
      <c r="G22" s="15" t="n">
        <v>0.0989</v>
      </c>
    </row>
    <row r="23" customFormat="false" ht="15" hidden="false" customHeight="false" outlineLevel="0" collapsed="false">
      <c r="A23" s="7" t="s">
        <v>248</v>
      </c>
      <c r="B23" s="16" t="n">
        <v>1.02246480850137</v>
      </c>
      <c r="C23" s="16" t="n">
        <v>1.02122780168511</v>
      </c>
      <c r="D23" s="17" t="n">
        <v>0.22751682466983</v>
      </c>
      <c r="E23" s="15" t="n">
        <v>0.884108525462452</v>
      </c>
      <c r="F23" s="15" t="n">
        <v>0.909786806595424</v>
      </c>
      <c r="G23" s="15" t="n">
        <v>0.88595</v>
      </c>
    </row>
    <row r="24" customFormat="false" ht="15" hidden="false" customHeight="false" outlineLevel="0" collapsed="false">
      <c r="A24" s="7" t="s">
        <v>249</v>
      </c>
      <c r="B24" s="16" t="n">
        <v>1.02344773454959</v>
      </c>
      <c r="C24" s="16" t="n">
        <v>1.01778633406654</v>
      </c>
      <c r="D24" s="17" t="n">
        <v>-0.221211494333062</v>
      </c>
      <c r="E24" s="15" t="n">
        <v>0.594815125199203</v>
      </c>
      <c r="F24" s="15" t="n">
        <v>0.594815125199203</v>
      </c>
      <c r="G24" s="15" t="n">
        <v>0.5915</v>
      </c>
    </row>
    <row r="25" customFormat="false" ht="15" hidden="false" customHeight="false" outlineLevel="0" collapsed="false">
      <c r="A25" s="7" t="s">
        <v>256</v>
      </c>
      <c r="B25" s="16" t="n">
        <v>0.995198569405975</v>
      </c>
      <c r="C25" s="16" t="n">
        <v>1.02197300381397</v>
      </c>
      <c r="D25" s="17" t="n">
        <v>-0.302173996618462</v>
      </c>
      <c r="E25" s="15" t="n">
        <v>0.0777739636087424</v>
      </c>
      <c r="F25" s="15" t="n">
        <v>0.0777739636087424</v>
      </c>
      <c r="G25" s="15" t="n">
        <v>0.02635</v>
      </c>
    </row>
    <row r="26" customFormat="false" ht="15" hidden="false" customHeight="false" outlineLevel="0" collapsed="false">
      <c r="A26" s="7" t="s">
        <v>257</v>
      </c>
      <c r="B26" s="16" t="n">
        <v>1.02864703024254</v>
      </c>
      <c r="C26" s="16" t="n">
        <v>1.02785740536933</v>
      </c>
      <c r="D26" s="17" t="n">
        <v>-0.196504331640819</v>
      </c>
      <c r="E26" s="15" t="n">
        <v>0.96245766029567</v>
      </c>
      <c r="F26" s="15" t="n">
        <v>0.96245766029567</v>
      </c>
      <c r="G26" s="15" t="n">
        <v>0.95855</v>
      </c>
    </row>
    <row r="27" customFormat="false" ht="15" hidden="false" customHeight="false" outlineLevel="0" collapsed="false">
      <c r="A27" s="7" t="s">
        <v>258</v>
      </c>
      <c r="B27" s="16" t="n">
        <v>1.01305845858892</v>
      </c>
      <c r="C27" s="16" t="n">
        <v>1.0086979134887</v>
      </c>
      <c r="D27" s="17" t="n">
        <v>0.208147571404108</v>
      </c>
      <c r="E27" s="15" t="n">
        <v>0.562156099255427</v>
      </c>
      <c r="F27" s="15" t="n">
        <v>0.645232091063966</v>
      </c>
      <c r="G27" s="15" t="n">
        <v>0.58585</v>
      </c>
    </row>
    <row r="28" customFormat="false" ht="15" hidden="false" customHeight="false" outlineLevel="0" collapsed="false">
      <c r="A28" s="7" t="s">
        <v>259</v>
      </c>
      <c r="B28" s="16" t="n">
        <v>1.23255474749898</v>
      </c>
      <c r="C28" s="16" t="n">
        <v>1.2072808674242</v>
      </c>
      <c r="D28" s="17" t="n">
        <v>-0.0262415356500626</v>
      </c>
      <c r="E28" s="15" t="n">
        <v>0.137218947358736</v>
      </c>
      <c r="F28" s="15" t="n">
        <v>0.137218947358736</v>
      </c>
      <c r="G28" s="15" t="n">
        <v>0.14135</v>
      </c>
    </row>
    <row r="29" customFormat="false" ht="15" hidden="false" customHeight="false" outlineLevel="0" collapsed="false">
      <c r="A29" s="7" t="s">
        <v>260</v>
      </c>
      <c r="B29" s="16" t="n">
        <v>0.998461669922631</v>
      </c>
      <c r="C29" s="16" t="n">
        <v>1.00636114097535</v>
      </c>
      <c r="D29" s="17" t="n">
        <v>-0.263403779299008</v>
      </c>
      <c r="E29" s="15" t="n">
        <v>0.492826784886179</v>
      </c>
      <c r="F29" s="15" t="n">
        <v>0.492826784886179</v>
      </c>
      <c r="G29" s="15" t="n">
        <v>0.36905</v>
      </c>
    </row>
    <row r="30" customFormat="false" ht="15" hidden="false" customHeight="false" outlineLevel="0" collapsed="false">
      <c r="A30" s="7" t="s">
        <v>261</v>
      </c>
      <c r="B30" s="16" t="n">
        <v>0.94738403864498</v>
      </c>
      <c r="C30" s="16" t="n">
        <v>0.957957911678187</v>
      </c>
      <c r="D30" s="17" t="n">
        <v>0.268766455767104</v>
      </c>
      <c r="E30" s="15" t="n">
        <v>0.37704015522335</v>
      </c>
      <c r="F30" s="15" t="n">
        <v>0.511422525196177</v>
      </c>
      <c r="G30" s="15" t="n">
        <v>0.4742</v>
      </c>
    </row>
    <row r="31" customFormat="false" ht="15" hidden="false" customHeight="false" outlineLevel="0" collapsed="false">
      <c r="A31" s="7" t="s">
        <v>262</v>
      </c>
      <c r="B31" s="16" t="n">
        <v>0.986092682477731</v>
      </c>
      <c r="C31" s="16" t="n">
        <v>0.943697287639025</v>
      </c>
      <c r="D31" s="17" t="n">
        <v>0.623997042493866</v>
      </c>
      <c r="E31" s="15" t="n">
        <v>0.0053179733572569</v>
      </c>
      <c r="F31" s="15" t="n">
        <v>0.33694656986938</v>
      </c>
      <c r="G31" s="15" t="n">
        <v>0.0244</v>
      </c>
    </row>
    <row r="32" customFormat="false" ht="15" hidden="false" customHeight="false" outlineLevel="0" collapsed="false">
      <c r="A32" s="11" t="s">
        <v>276</v>
      </c>
      <c r="D32" s="18" t="n">
        <f aca="false">AVERAGE(D20:D31)</f>
        <v>-0.012200736006503</v>
      </c>
    </row>
    <row r="34" customFormat="false" ht="15" hidden="false" customHeight="false" outlineLevel="0" collapsed="false">
      <c r="A34" s="11" t="s">
        <v>278</v>
      </c>
    </row>
    <row r="35" customFormat="false" ht="15" hidden="false" customHeight="false" outlineLevel="0" collapsed="false">
      <c r="A35" s="7" t="s">
        <v>279</v>
      </c>
    </row>
    <row r="36" customFormat="false" ht="15" hidden="false" customHeight="false" outlineLevel="0" collapsed="false">
      <c r="A36" s="7" t="s">
        <v>280</v>
      </c>
    </row>
    <row r="37" customFormat="false" ht="15" hidden="false" customHeight="false" outlineLevel="0" collapsed="false">
      <c r="A37" s="7" t="s">
        <v>281</v>
      </c>
    </row>
    <row r="38" customFormat="false" ht="15" hidden="false" customHeight="false" outlineLevel="0" collapsed="false">
      <c r="A38" s="7" t="s">
        <v>282</v>
      </c>
    </row>
    <row r="39" customFormat="false" ht="15" hidden="false" customHeight="false" outlineLevel="0" collapsed="false">
      <c r="A39" s="7" t="s">
        <v>283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8"/>
    <col collapsed="false" customWidth="true" hidden="false" outlineLevel="0" max="3" min="3" style="0" width="22"/>
    <col collapsed="false" customWidth="true" hidden="false" outlineLevel="0" max="4" min="4" style="0" width="10"/>
  </cols>
  <sheetData>
    <row r="1" customFormat="false" ht="16.15" hidden="false" customHeight="false" outlineLevel="0" collapsed="false">
      <c r="A1" s="4" t="s">
        <v>284</v>
      </c>
    </row>
    <row r="2" customFormat="false" ht="15" hidden="false" customHeight="false" outlineLevel="0" collapsed="false">
      <c r="A2" s="5" t="s">
        <v>285</v>
      </c>
    </row>
    <row r="4" customFormat="false" ht="26.85" hidden="false" customHeight="false" outlineLevel="0" collapsed="false">
      <c r="A4" s="6" t="s">
        <v>286</v>
      </c>
      <c r="B4" s="6" t="s">
        <v>109</v>
      </c>
      <c r="C4" s="6" t="s">
        <v>287</v>
      </c>
      <c r="D4" s="6" t="s">
        <v>288</v>
      </c>
    </row>
    <row r="5" customFormat="false" ht="15" hidden="false" customHeight="false" outlineLevel="0" collapsed="false">
      <c r="A5" s="7" t="s">
        <v>116</v>
      </c>
      <c r="B5" s="7" t="n">
        <f aca="false">Data_K5!B5</f>
        <v>570</v>
      </c>
      <c r="C5" s="7" t="n">
        <f aca="false">Data_K5!G10</f>
        <v>650</v>
      </c>
      <c r="D5" s="19" t="n">
        <f aca="false">C5/B5-1</f>
        <v>0.140350877192982</v>
      </c>
    </row>
    <row r="6" customFormat="false" ht="15" hidden="false" customHeight="false" outlineLevel="0" collapsed="false">
      <c r="A6" s="7" t="s">
        <v>117</v>
      </c>
      <c r="B6" s="7" t="n">
        <f aca="false">Data_K5!B6</f>
        <v>581</v>
      </c>
      <c r="C6" s="7" t="n">
        <f aca="false">Data_K5!G11</f>
        <v>680</v>
      </c>
      <c r="D6" s="19" t="n">
        <f aca="false">C6/B6-1</f>
        <v>0.17039586919105</v>
      </c>
    </row>
    <row r="7" customFormat="false" ht="15" hidden="false" customHeight="false" outlineLevel="0" collapsed="false">
      <c r="A7" s="7" t="s">
        <v>118</v>
      </c>
      <c r="B7" s="7" t="n">
        <f aca="false">Data_K5!B7</f>
        <v>566</v>
      </c>
      <c r="C7" s="7" t="n">
        <f aca="false">Data_K5!G12</f>
        <v>677</v>
      </c>
      <c r="D7" s="19" t="n">
        <f aca="false">C7/B7-1</f>
        <v>0.196113074204947</v>
      </c>
    </row>
    <row r="8" customFormat="false" ht="15" hidden="false" customHeight="false" outlineLevel="0" collapsed="false">
      <c r="A8" s="7" t="s">
        <v>119</v>
      </c>
      <c r="B8" s="7" t="n">
        <f aca="false">Data_K5!B8</f>
        <v>593</v>
      </c>
      <c r="C8" s="7" t="n">
        <f aca="false">Data_K5!G13</f>
        <v>696</v>
      </c>
      <c r="D8" s="19" t="n">
        <f aca="false">C8/B8-1</f>
        <v>0.173693086003373</v>
      </c>
    </row>
    <row r="9" customFormat="false" ht="15" hidden="false" customHeight="false" outlineLevel="0" collapsed="false">
      <c r="A9" s="7" t="s">
        <v>120</v>
      </c>
      <c r="B9" s="7" t="n">
        <f aca="false">Data_K5!B9</f>
        <v>586</v>
      </c>
      <c r="C9" s="7" t="n">
        <f aca="false">Data_K5!G14</f>
        <v>678</v>
      </c>
      <c r="D9" s="19" t="n">
        <f aca="false">C9/B9-1</f>
        <v>0.156996587030717</v>
      </c>
    </row>
    <row r="10" customFormat="false" ht="15" hidden="false" customHeight="false" outlineLevel="0" collapsed="false">
      <c r="A10" s="7" t="s">
        <v>121</v>
      </c>
      <c r="B10" s="7" t="n">
        <f aca="false">Data_K5!B10</f>
        <v>623</v>
      </c>
      <c r="C10" s="7" t="n">
        <f aca="false">Data_K5!G15</f>
        <v>728</v>
      </c>
      <c r="D10" s="19" t="n">
        <f aca="false">C10/B10-1</f>
        <v>0.168539325842697</v>
      </c>
    </row>
    <row r="11" customFormat="false" ht="15" hidden="false" customHeight="false" outlineLevel="0" collapsed="false">
      <c r="A11" s="7" t="s">
        <v>122</v>
      </c>
      <c r="B11" s="7" t="n">
        <f aca="false">Data_K5!B11</f>
        <v>558</v>
      </c>
      <c r="C11" s="7" t="n">
        <f aca="false">Data_K5!G16</f>
        <v>650</v>
      </c>
      <c r="D11" s="19" t="n">
        <f aca="false">C11/B11-1</f>
        <v>0.164874551971326</v>
      </c>
    </row>
    <row r="12" customFormat="false" ht="15" hidden="false" customHeight="false" outlineLevel="0" collapsed="false">
      <c r="A12" s="7" t="s">
        <v>123</v>
      </c>
      <c r="B12" s="7" t="n">
        <f aca="false">Data_K5!B12</f>
        <v>582</v>
      </c>
      <c r="C12" s="7" t="n">
        <f aca="false">Data_K5!G17</f>
        <v>569</v>
      </c>
      <c r="D12" s="19" t="n">
        <f aca="false">C12/B12-1</f>
        <v>-0.0223367697594502</v>
      </c>
    </row>
    <row r="13" customFormat="false" ht="15" hidden="false" customHeight="false" outlineLevel="0" collapsed="false">
      <c r="A13" s="7" t="s">
        <v>124</v>
      </c>
      <c r="B13" s="7" t="n">
        <f aca="false">Data_K5!B13</f>
        <v>626</v>
      </c>
      <c r="C13" s="7" t="n">
        <f aca="false">Data_K5!G18</f>
        <v>711</v>
      </c>
      <c r="D13" s="19" t="n">
        <f aca="false">C13/B13-1</f>
        <v>0.135782747603834</v>
      </c>
    </row>
    <row r="14" customFormat="false" ht="15" hidden="false" customHeight="false" outlineLevel="0" collapsed="false">
      <c r="A14" s="7" t="s">
        <v>125</v>
      </c>
      <c r="B14" s="7" t="n">
        <f aca="false">Data_K5!B14</f>
        <v>637</v>
      </c>
      <c r="C14" s="7" t="n">
        <f aca="false">Data_K5!G19</f>
        <v>604</v>
      </c>
      <c r="D14" s="19" t="n">
        <f aca="false">C14/B14-1</f>
        <v>-0.0518053375196232</v>
      </c>
    </row>
    <row r="15" customFormat="false" ht="15" hidden="false" customHeight="false" outlineLevel="0" collapsed="false">
      <c r="A15" s="7" t="s">
        <v>126</v>
      </c>
      <c r="B15" s="7" t="n">
        <f aca="false">Data_K5!B15</f>
        <v>684</v>
      </c>
      <c r="C15" s="7" t="n">
        <f aca="false">Data_K5!G20</f>
        <v>656</v>
      </c>
      <c r="D15" s="19" t="n">
        <f aca="false">C15/B15-1</f>
        <v>-0.0409356725146199</v>
      </c>
    </row>
    <row r="16" customFormat="false" ht="15" hidden="false" customHeight="false" outlineLevel="0" collapsed="false">
      <c r="A16" s="7" t="s">
        <v>127</v>
      </c>
      <c r="B16" s="7" t="n">
        <f aca="false">Data_K5!B16</f>
        <v>525</v>
      </c>
      <c r="C16" s="7" t="n">
        <f aca="false">Data_K5!G21</f>
        <v>625</v>
      </c>
      <c r="D16" s="19" t="n">
        <f aca="false">C16/B16-1</f>
        <v>0.19047619047619</v>
      </c>
    </row>
    <row r="17" customFormat="false" ht="15" hidden="false" customHeight="false" outlineLevel="0" collapsed="false">
      <c r="A17" s="7" t="s">
        <v>128</v>
      </c>
      <c r="B17" s="7" t="n">
        <f aca="false">Data_K5!B17</f>
        <v>534</v>
      </c>
      <c r="C17" s="7" t="n">
        <f aca="false">Data_K5!G22</f>
        <v>631</v>
      </c>
      <c r="D17" s="19" t="n">
        <f aca="false">C17/B17-1</f>
        <v>0.181647940074906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4" min="3" style="0" width="10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12" min="7" style="0" width="10"/>
  </cols>
  <sheetData>
    <row r="1" customFormat="false" ht="16.15" hidden="false" customHeight="false" outlineLevel="0" collapsed="false">
      <c r="A1" s="4" t="s">
        <v>289</v>
      </c>
    </row>
    <row r="2" customFormat="false" ht="15" hidden="false" customHeight="false" outlineLevel="0" collapsed="false">
      <c r="A2" s="5" t="s">
        <v>290</v>
      </c>
    </row>
    <row r="4" customFormat="false" ht="15" hidden="false" customHeight="false" outlineLevel="0" collapsed="false">
      <c r="A4" s="11" t="s">
        <v>291</v>
      </c>
    </row>
    <row r="5" customFormat="false" ht="26.85" hidden="false" customHeight="false" outlineLevel="0" collapsed="false">
      <c r="A5" s="6" t="s">
        <v>292</v>
      </c>
      <c r="B5" s="6" t="s">
        <v>293</v>
      </c>
      <c r="C5" s="6" t="s">
        <v>294</v>
      </c>
      <c r="D5" s="6" t="s">
        <v>295</v>
      </c>
      <c r="E5" s="6" t="s">
        <v>296</v>
      </c>
      <c r="F5" s="6" t="s">
        <v>294</v>
      </c>
      <c r="G5" s="6" t="s">
        <v>295</v>
      </c>
    </row>
    <row r="6" customFormat="false" ht="15" hidden="false" customHeight="false" outlineLevel="0" collapsed="false">
      <c r="A6" s="7" t="s">
        <v>297</v>
      </c>
      <c r="B6" s="9" t="n">
        <v>3068.72171505131</v>
      </c>
      <c r="C6" s="9" t="n">
        <v>2951.75371435452</v>
      </c>
      <c r="D6" s="9" t="n">
        <v>3202.67716166635</v>
      </c>
      <c r="E6" s="9" t="n">
        <v>3003.42324544499</v>
      </c>
      <c r="F6" s="9" t="n">
        <v>2858.90785334619</v>
      </c>
      <c r="G6" s="9" t="n">
        <v>3166.63328341481</v>
      </c>
    </row>
    <row r="7" customFormat="false" ht="15" hidden="false" customHeight="false" outlineLevel="0" collapsed="false">
      <c r="A7" s="7" t="s">
        <v>298</v>
      </c>
      <c r="B7" s="9" t="n">
        <v>3032.27862153934</v>
      </c>
      <c r="C7" s="9" t="n">
        <v>2914.67323370293</v>
      </c>
      <c r="D7" s="9" t="n">
        <v>3165.69706456732</v>
      </c>
      <c r="E7" s="9" t="n">
        <v>2879.34664175303</v>
      </c>
      <c r="F7" s="9" t="n">
        <v>2740.10089453988</v>
      </c>
      <c r="G7" s="9" t="n">
        <v>3036.34291480429</v>
      </c>
    </row>
    <row r="8" customFormat="false" ht="15" hidden="false" customHeight="false" outlineLevel="0" collapsed="false">
      <c r="A8" s="7" t="s">
        <v>299</v>
      </c>
      <c r="B8" s="9" t="n">
        <v>2999.79350797927</v>
      </c>
      <c r="C8" s="9" t="n">
        <v>2883.64674411457</v>
      </c>
      <c r="D8" s="9" t="n">
        <v>3132.12441442374</v>
      </c>
      <c r="E8" s="9" t="n">
        <v>2778.01932696657</v>
      </c>
      <c r="F8" s="9" t="n">
        <v>2641.24158750458</v>
      </c>
      <c r="G8" s="9" t="n">
        <v>2930.60241132616</v>
      </c>
    </row>
    <row r="10" customFormat="false" ht="15" hidden="false" customHeight="false" outlineLevel="0" collapsed="false">
      <c r="A10" s="11" t="s">
        <v>300</v>
      </c>
    </row>
    <row r="11" customFormat="false" ht="26.85" hidden="false" customHeight="false" outlineLevel="0" collapsed="false">
      <c r="A11" s="6" t="s">
        <v>108</v>
      </c>
      <c r="B11" s="6" t="s">
        <v>301</v>
      </c>
      <c r="C11" s="6" t="s">
        <v>143</v>
      </c>
      <c r="D11" s="6" t="s">
        <v>144</v>
      </c>
      <c r="E11" s="6" t="s">
        <v>145</v>
      </c>
      <c r="F11" s="6" t="s">
        <v>302</v>
      </c>
    </row>
    <row r="12" customFormat="false" ht="15" hidden="false" customHeight="false" outlineLevel="0" collapsed="false">
      <c r="A12" s="9" t="s">
        <v>303</v>
      </c>
      <c r="B12" s="9" t="n">
        <v>3523.00182036714</v>
      </c>
      <c r="C12" s="9" t="n">
        <v>2176.18283349744</v>
      </c>
      <c r="D12" s="9" t="n">
        <v>3481.70287062385</v>
      </c>
      <c r="E12" s="9" t="n">
        <v>9180.88752448842</v>
      </c>
      <c r="F12" s="9" t="n">
        <v>9165.49752448842</v>
      </c>
    </row>
    <row r="13" customFormat="false" ht="15" hidden="false" customHeight="false" outlineLevel="0" collapsed="false">
      <c r="A13" s="9" t="s">
        <v>304</v>
      </c>
      <c r="B13" s="9" t="n">
        <v>3448.70318894931</v>
      </c>
      <c r="C13" s="9" t="n">
        <v>2146.49258728124</v>
      </c>
      <c r="D13" s="9" t="n">
        <v>3461.88997058931</v>
      </c>
      <c r="E13" s="9" t="n">
        <v>9057.08574681985</v>
      </c>
      <c r="F13" s="9" t="n">
        <v>9010.28419098837</v>
      </c>
    </row>
    <row r="14" customFormat="false" ht="15" hidden="false" customHeight="false" outlineLevel="0" collapsed="false">
      <c r="A14" s="9" t="s">
        <v>305</v>
      </c>
      <c r="B14" s="9" t="n">
        <v>3407.0875073086</v>
      </c>
      <c r="C14" s="9" t="n">
        <v>2105.95645563365</v>
      </c>
      <c r="D14" s="9" t="n">
        <v>3473.52923214514</v>
      </c>
      <c r="E14" s="9" t="n">
        <v>8986.57319508739</v>
      </c>
      <c r="F14" s="9" t="n">
        <v>8892.39295812272</v>
      </c>
    </row>
    <row r="15" customFormat="false" ht="15" hidden="false" customHeight="false" outlineLevel="0" collapsed="false">
      <c r="A15" s="9" t="s">
        <v>306</v>
      </c>
      <c r="B15" s="9" t="n">
        <v>3399.27149735955</v>
      </c>
      <c r="C15" s="9" t="n">
        <v>2015.8230246767</v>
      </c>
      <c r="D15" s="9" t="n">
        <v>3435.82037953201</v>
      </c>
      <c r="E15" s="9" t="n">
        <v>8850.91490156825</v>
      </c>
      <c r="F15" s="9" t="n">
        <v>8693.41346189655</v>
      </c>
    </row>
    <row r="16" customFormat="false" ht="15" hidden="false" customHeight="false" outlineLevel="0" collapsed="false">
      <c r="A16" s="9" t="s">
        <v>307</v>
      </c>
      <c r="B16" s="9" t="n">
        <v>3397.56545717758</v>
      </c>
      <c r="C16" s="9" t="n">
        <v>1938.45736819834</v>
      </c>
      <c r="D16" s="9" t="n">
        <v>3425.03866335846</v>
      </c>
      <c r="E16" s="9" t="n">
        <v>8761.06148873438</v>
      </c>
      <c r="F16" s="9" t="n">
        <v>8524.40600338531</v>
      </c>
    </row>
    <row r="17" customFormat="false" ht="15" hidden="false" customHeight="false" outlineLevel="0" collapsed="false">
      <c r="A17" s="9" t="s">
        <v>308</v>
      </c>
      <c r="B17" s="9" t="n">
        <v>3397.56545717758</v>
      </c>
      <c r="C17" s="9" t="n">
        <v>1894.30031566823</v>
      </c>
      <c r="D17" s="9" t="n">
        <v>3347.51882547093</v>
      </c>
      <c r="E17" s="9" t="n">
        <v>8639.38459831674</v>
      </c>
      <c r="F17" s="9" t="n">
        <v>8307.90181381281</v>
      </c>
    </row>
    <row r="18" customFormat="false" ht="15" hidden="false" customHeight="false" outlineLevel="0" collapsed="false">
      <c r="A18" s="9" t="s">
        <v>309</v>
      </c>
      <c r="B18" s="9" t="n">
        <v>3397.56545717758</v>
      </c>
      <c r="C18" s="9" t="n">
        <v>1886.00263156626</v>
      </c>
      <c r="D18" s="9" t="n">
        <v>3252.53992766924</v>
      </c>
      <c r="E18" s="9" t="n">
        <v>8536.10801641308</v>
      </c>
      <c r="F18" s="9" t="n">
        <v>8094.19831085828</v>
      </c>
    </row>
    <row r="19" customFormat="false" ht="15" hidden="false" customHeight="false" outlineLevel="0" collapsed="false">
      <c r="A19" s="9" t="s">
        <v>310</v>
      </c>
      <c r="B19" s="9" t="n">
        <v>3397.56545717758</v>
      </c>
      <c r="C19" s="9" t="n">
        <v>1884.19494691224</v>
      </c>
      <c r="D19" s="9" t="n">
        <v>3137.43417996185</v>
      </c>
      <c r="E19" s="9" t="n">
        <v>8419.19458405167</v>
      </c>
      <c r="F19" s="9" t="n">
        <v>7851.2125099407</v>
      </c>
    </row>
    <row r="21" customFormat="false" ht="15" hidden="false" customHeight="false" outlineLevel="0" collapsed="false">
      <c r="A21" s="11" t="s">
        <v>311</v>
      </c>
    </row>
    <row r="22" customFormat="false" ht="15" hidden="false" customHeight="false" outlineLevel="0" collapsed="false">
      <c r="A22" s="11" t="s">
        <v>245</v>
      </c>
      <c r="B22" s="11" t="s">
        <v>246</v>
      </c>
      <c r="C22" s="11" t="s">
        <v>247</v>
      </c>
      <c r="D22" s="11" t="s">
        <v>248</v>
      </c>
      <c r="E22" s="11" t="s">
        <v>249</v>
      </c>
      <c r="F22" s="11" t="s">
        <v>256</v>
      </c>
      <c r="G22" s="11" t="s">
        <v>257</v>
      </c>
      <c r="H22" s="11" t="s">
        <v>258</v>
      </c>
      <c r="I22" s="11" t="s">
        <v>259</v>
      </c>
      <c r="J22" s="11" t="s">
        <v>260</v>
      </c>
      <c r="K22" s="11" t="s">
        <v>261</v>
      </c>
      <c r="L22" s="11" t="s">
        <v>262</v>
      </c>
    </row>
    <row r="23" customFormat="false" ht="15" hidden="false" customHeight="false" outlineLevel="0" collapsed="false">
      <c r="A23" s="16" t="n">
        <v>1.07103676617793</v>
      </c>
      <c r="B23" s="16" t="n">
        <v>1.02585752169022</v>
      </c>
      <c r="C23" s="16" t="n">
        <v>1.02687310590056</v>
      </c>
      <c r="D23" s="16" t="n">
        <v>1.02122780168511</v>
      </c>
      <c r="E23" s="16" t="n">
        <v>1.01778633406654</v>
      </c>
      <c r="F23" s="16" t="n">
        <v>1.02197300381397</v>
      </c>
      <c r="G23" s="16" t="n">
        <v>1.02785740536933</v>
      </c>
      <c r="H23" s="16" t="n">
        <v>1.0086979134887</v>
      </c>
      <c r="I23" s="16" t="n">
        <v>1.2072808674242</v>
      </c>
      <c r="J23" s="16" t="n">
        <v>1.00636114097535</v>
      </c>
      <c r="K23" s="16" t="n">
        <v>0.957957911678187</v>
      </c>
      <c r="L23" s="16" t="n">
        <v>0.943697287639025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14"/>
    <col collapsed="false" customWidth="true" hidden="false" outlineLevel="0" max="7" min="6" style="0" width="4"/>
    <col collapsed="false" customWidth="true" hidden="false" outlineLevel="0" max="8" min="8" style="0" width="12"/>
    <col collapsed="false" customWidth="true" hidden="false" outlineLevel="0" max="11" min="9" style="0" width="10"/>
  </cols>
  <sheetData>
    <row r="1" customFormat="false" ht="16.15" hidden="false" customHeight="false" outlineLevel="0" collapsed="false">
      <c r="A1" s="4" t="s">
        <v>312</v>
      </c>
    </row>
    <row r="2" customFormat="false" ht="15" hidden="false" customHeight="false" outlineLevel="0" collapsed="false">
      <c r="A2" s="5" t="s">
        <v>313</v>
      </c>
    </row>
    <row r="4" customFormat="false" ht="15" hidden="false" customHeight="false" outlineLevel="0" collapsed="false">
      <c r="A4" s="11" t="s">
        <v>314</v>
      </c>
    </row>
    <row r="5" customFormat="false" ht="15" hidden="false" customHeight="false" outlineLevel="0" collapsed="false">
      <c r="A5" s="7" t="s">
        <v>315</v>
      </c>
      <c r="B5" s="20" t="n">
        <v>14800</v>
      </c>
      <c r="C5" s="5" t="s">
        <v>316</v>
      </c>
    </row>
    <row r="6" customFormat="false" ht="15" hidden="false" customHeight="false" outlineLevel="0" collapsed="false">
      <c r="A6" s="7" t="s">
        <v>317</v>
      </c>
      <c r="B6" s="8" t="n">
        <v>741</v>
      </c>
      <c r="C6" s="5" t="s">
        <v>318</v>
      </c>
    </row>
    <row r="7" customFormat="false" ht="15" hidden="false" customHeight="false" outlineLevel="0" collapsed="false">
      <c r="A7" s="7" t="s">
        <v>319</v>
      </c>
      <c r="B7" s="8" t="n">
        <v>1756</v>
      </c>
      <c r="C7" s="5" t="s">
        <v>320</v>
      </c>
    </row>
    <row r="8" customFormat="false" ht="15" hidden="false" customHeight="false" outlineLevel="0" collapsed="false">
      <c r="A8" s="7" t="s">
        <v>321</v>
      </c>
      <c r="B8" s="21" t="n">
        <v>3.14</v>
      </c>
      <c r="C8" s="5" t="s">
        <v>322</v>
      </c>
    </row>
    <row r="9" customFormat="false" ht="15" hidden="false" customHeight="false" outlineLevel="0" collapsed="false">
      <c r="A9" s="7" t="s">
        <v>323</v>
      </c>
      <c r="B9" s="22" t="n">
        <v>392953</v>
      </c>
      <c r="C9" s="5" t="s">
        <v>322</v>
      </c>
    </row>
    <row r="10" customFormat="false" ht="15" hidden="false" customHeight="false" outlineLevel="0" collapsed="false">
      <c r="A10" s="7" t="s">
        <v>324</v>
      </c>
      <c r="B10" s="22" t="n">
        <v>86744</v>
      </c>
      <c r="C10" s="5" t="s">
        <v>325</v>
      </c>
    </row>
    <row r="11" customFormat="false" ht="15" hidden="false" customHeight="false" outlineLevel="0" collapsed="false">
      <c r="A11" s="7" t="s">
        <v>326</v>
      </c>
      <c r="B11" s="8" t="n">
        <v>43</v>
      </c>
      <c r="C11" s="5" t="s">
        <v>327</v>
      </c>
    </row>
    <row r="12" customFormat="false" ht="15" hidden="false" customHeight="false" outlineLevel="0" collapsed="false">
      <c r="A12" s="7" t="s">
        <v>328</v>
      </c>
      <c r="B12" s="21" t="n">
        <v>195.67</v>
      </c>
      <c r="C12" s="5" t="s">
        <v>329</v>
      </c>
    </row>
    <row r="13" customFormat="false" ht="15" hidden="false" customHeight="false" outlineLevel="0" collapsed="false">
      <c r="A13" s="7" t="s">
        <v>330</v>
      </c>
      <c r="B13" s="21" t="n">
        <v>190.15</v>
      </c>
      <c r="C13" s="5" t="s">
        <v>329</v>
      </c>
    </row>
    <row r="14" customFormat="false" ht="15" hidden="false" customHeight="false" outlineLevel="0" collapsed="false">
      <c r="A14" s="7" t="s">
        <v>331</v>
      </c>
      <c r="B14" s="23" t="n">
        <v>0.83</v>
      </c>
      <c r="C14" s="5" t="s">
        <v>332</v>
      </c>
    </row>
    <row r="15" customFormat="false" ht="15" hidden="false" customHeight="false" outlineLevel="0" collapsed="false">
      <c r="A15" s="7" t="s">
        <v>333</v>
      </c>
      <c r="B15" s="21" t="n">
        <v>8.41</v>
      </c>
      <c r="C15" s="5" t="s">
        <v>329</v>
      </c>
    </row>
    <row r="17" customFormat="false" ht="15" hidden="false" customHeight="false" outlineLevel="0" collapsed="false">
      <c r="A17" s="11" t="s">
        <v>334</v>
      </c>
    </row>
    <row r="18" customFormat="false" ht="26.85" hidden="false" customHeight="false" outlineLevel="0" collapsed="false">
      <c r="A18" s="6" t="s">
        <v>335</v>
      </c>
      <c r="B18" s="6" t="s">
        <v>336</v>
      </c>
      <c r="C18" s="6" t="s">
        <v>337</v>
      </c>
      <c r="D18" s="6" t="s">
        <v>338</v>
      </c>
    </row>
    <row r="19" customFormat="false" ht="15" hidden="false" customHeight="false" outlineLevel="0" collapsed="false">
      <c r="A19" s="23" t="n">
        <v>0.02</v>
      </c>
      <c r="B19" s="7" t="n">
        <f aca="false">ROUND($B$6*A19,0)</f>
        <v>15</v>
      </c>
      <c r="C19" s="24" t="n">
        <f aca="false">B19*$B$5</f>
        <v>222000</v>
      </c>
      <c r="D19" s="25" t="n">
        <f aca="false">C19/3100000</f>
        <v>0.0716129032258065</v>
      </c>
    </row>
    <row r="20" customFormat="false" ht="15" hidden="false" customHeight="false" outlineLevel="0" collapsed="false">
      <c r="A20" s="23" t="n">
        <v>0.05</v>
      </c>
      <c r="B20" s="7" t="n">
        <f aca="false">ROUND($B$6*A20,0)</f>
        <v>37</v>
      </c>
      <c r="C20" s="24" t="n">
        <f aca="false">B20*$B$5</f>
        <v>547600</v>
      </c>
      <c r="D20" s="25" t="n">
        <f aca="false">C20/3100000</f>
        <v>0.176645161290323</v>
      </c>
    </row>
    <row r="21" customFormat="false" ht="15" hidden="false" customHeight="false" outlineLevel="0" collapsed="false">
      <c r="A21" s="23" t="n">
        <v>0.1</v>
      </c>
      <c r="B21" s="7" t="n">
        <f aca="false">ROUND($B$6*A21,0)</f>
        <v>74</v>
      </c>
      <c r="C21" s="24" t="n">
        <f aca="false">B21*$B$5</f>
        <v>1095200</v>
      </c>
      <c r="D21" s="25" t="n">
        <f aca="false">C21/3100000</f>
        <v>0.353290322580645</v>
      </c>
    </row>
    <row r="23" customFormat="false" ht="15" hidden="false" customHeight="false" outlineLevel="0" collapsed="false">
      <c r="A23" s="11" t="s">
        <v>339</v>
      </c>
    </row>
    <row r="24" customFormat="false" ht="26.85" hidden="false" customHeight="false" outlineLevel="0" collapsed="false">
      <c r="A24" s="6" t="s">
        <v>340</v>
      </c>
      <c r="B24" s="6" t="s">
        <v>336</v>
      </c>
      <c r="C24" s="6" t="s">
        <v>341</v>
      </c>
    </row>
    <row r="25" customFormat="false" ht="15" hidden="false" customHeight="false" outlineLevel="0" collapsed="false">
      <c r="A25" s="7" t="s">
        <v>342</v>
      </c>
      <c r="B25" s="7" t="n">
        <f aca="false">ROUND(0.05*$B$6,0)</f>
        <v>37</v>
      </c>
      <c r="C25" s="15" t="n">
        <f aca="false">B25*$B$5/1000000</f>
        <v>0.5476</v>
      </c>
    </row>
    <row r="26" customFormat="false" ht="15" hidden="false" customHeight="false" outlineLevel="0" collapsed="false">
      <c r="A26" s="7" t="s">
        <v>343</v>
      </c>
      <c r="B26" s="7" t="n">
        <f aca="false">ROUND(0.05*$B$6,0)+ROUND(0.01*$B$7,0)</f>
        <v>55</v>
      </c>
      <c r="C26" s="15" t="n">
        <f aca="false">B26*$B$5/1000000</f>
        <v>0.814</v>
      </c>
    </row>
    <row r="27" customFormat="false" ht="15" hidden="false" customHeight="false" outlineLevel="0" collapsed="false">
      <c r="A27" s="7" t="s">
        <v>344</v>
      </c>
      <c r="B27" s="7" t="n">
        <f aca="false">ROUND(0.05*$B$6,0)+ROUND(0.02*$B$7,0)</f>
        <v>72</v>
      </c>
      <c r="C27" s="15" t="n">
        <f aca="false">B27*$B$5/1000000</f>
        <v>1.0656</v>
      </c>
    </row>
    <row r="28" customFormat="false" ht="15" hidden="false" customHeight="false" outlineLevel="0" collapsed="false">
      <c r="A28" s="7" t="s">
        <v>345</v>
      </c>
      <c r="B28" s="7" t="n">
        <f aca="false">ROUND(0.05*($B$6+$B$7),0)</f>
        <v>125</v>
      </c>
      <c r="C28" s="15" t="n">
        <f aca="false">B28*$B$5/1000000</f>
        <v>1.85</v>
      </c>
    </row>
    <row r="30" customFormat="false" ht="15" hidden="false" customHeight="false" outlineLevel="0" collapsed="false">
      <c r="A30" s="11" t="s">
        <v>346</v>
      </c>
    </row>
    <row r="31" customFormat="false" ht="26.85" hidden="false" customHeight="false" outlineLevel="0" collapsed="false">
      <c r="A31" s="6" t="s">
        <v>21</v>
      </c>
      <c r="B31" s="6" t="s">
        <v>347</v>
      </c>
      <c r="C31" s="6" t="s">
        <v>348</v>
      </c>
      <c r="D31" s="6" t="s">
        <v>349</v>
      </c>
    </row>
    <row r="32" customFormat="false" ht="15" hidden="false" customHeight="false" outlineLevel="0" collapsed="false">
      <c r="A32" s="7" t="s">
        <v>350</v>
      </c>
      <c r="B32" s="15" t="n">
        <f aca="false">$B$8</f>
        <v>3.14</v>
      </c>
      <c r="C32" s="15" t="n">
        <f aca="false">$B$8</f>
        <v>3.14</v>
      </c>
    </row>
    <row r="33" customFormat="false" ht="15" hidden="false" customHeight="false" outlineLevel="0" collapsed="false">
      <c r="A33" s="7" t="s">
        <v>351</v>
      </c>
      <c r="B33" s="8" t="n">
        <v>-0.1</v>
      </c>
      <c r="C33" s="8" t="n">
        <v>-0.21</v>
      </c>
      <c r="D33" s="5" t="s">
        <v>352</v>
      </c>
    </row>
    <row r="34" customFormat="false" ht="15" hidden="false" customHeight="false" outlineLevel="0" collapsed="false">
      <c r="A34" s="7" t="s">
        <v>353</v>
      </c>
      <c r="B34" s="15" t="n">
        <f aca="false">-ROUND($B$11*0.5/8,1)*$B$10/1000000</f>
        <v>-0.2342088</v>
      </c>
      <c r="C34" s="15" t="n">
        <f aca="false">-ROUND($B$11*0.8/8,1)*$B$10/1000000</f>
        <v>-0.3729992</v>
      </c>
      <c r="D34" s="5" t="s">
        <v>354</v>
      </c>
    </row>
    <row r="35" customFormat="false" ht="15" hidden="false" customHeight="false" outlineLevel="0" collapsed="false">
      <c r="A35" s="7" t="s">
        <v>355</v>
      </c>
      <c r="B35" s="8" t="n">
        <v>0</v>
      </c>
      <c r="C35" s="8" t="n">
        <v>-0.16</v>
      </c>
    </row>
    <row r="36" customFormat="false" ht="15" hidden="false" customHeight="false" outlineLevel="0" collapsed="false">
      <c r="A36" s="7" t="s">
        <v>356</v>
      </c>
      <c r="B36" s="15" t="n">
        <f aca="false">-C26</f>
        <v>-0.814</v>
      </c>
      <c r="C36" s="15" t="n">
        <f aca="false">-C27</f>
        <v>-1.0656</v>
      </c>
    </row>
    <row r="37" customFormat="false" ht="15" hidden="false" customHeight="false" outlineLevel="0" collapsed="false">
      <c r="A37" s="11" t="s">
        <v>357</v>
      </c>
      <c r="B37" s="26" t="n">
        <f aca="false">SUM(B32:B36)</f>
        <v>1.9917912</v>
      </c>
      <c r="C37" s="26" t="n">
        <f aca="false">SUM(C32:C36)</f>
        <v>1.3314008</v>
      </c>
    </row>
    <row r="38" customFormat="false" ht="15" hidden="false" customHeight="false" outlineLevel="0" collapsed="false">
      <c r="A38" s="7" t="s">
        <v>358</v>
      </c>
      <c r="B38" s="25" t="n">
        <f aca="false">1-B37/$B$8</f>
        <v>0.365671592356688</v>
      </c>
      <c r="C38" s="25" t="n">
        <f aca="false">1-C37/$B$8</f>
        <v>0.575987006369427</v>
      </c>
    </row>
    <row r="40" customFormat="false" ht="15" hidden="false" customHeight="false" outlineLevel="0" collapsed="false">
      <c r="A40" s="11" t="s">
        <v>359</v>
      </c>
    </row>
    <row r="41" customFormat="false" ht="15" hidden="false" customHeight="false" outlineLevel="0" collapsed="false">
      <c r="A41" s="7" t="s">
        <v>360</v>
      </c>
      <c r="B41" s="24" t="n">
        <f aca="false">0.3*$B$9</f>
        <v>117885.9</v>
      </c>
      <c r="C41" s="24" t="n">
        <f aca="false">0.5*$B$9</f>
        <v>196476.5</v>
      </c>
    </row>
    <row r="42" customFormat="false" ht="15" hidden="false" customHeight="false" outlineLevel="0" collapsed="false">
      <c r="A42" s="7" t="s">
        <v>361</v>
      </c>
      <c r="B42" s="24" t="n">
        <f aca="false">0.25*$B$10</f>
        <v>21686</v>
      </c>
      <c r="C42" s="24" t="n">
        <f aca="false">0.5*$B$10</f>
        <v>43372</v>
      </c>
    </row>
    <row r="43" customFormat="false" ht="15" hidden="false" customHeight="false" outlineLevel="0" collapsed="false">
      <c r="A43" s="7" t="s">
        <v>362</v>
      </c>
      <c r="B43" s="22" t="n">
        <v>10000</v>
      </c>
      <c r="C43" s="22" t="n">
        <v>20000</v>
      </c>
    </row>
    <row r="44" customFormat="false" ht="15" hidden="false" customHeight="false" outlineLevel="0" collapsed="false">
      <c r="A44" s="11" t="s">
        <v>363</v>
      </c>
      <c r="B44" s="27" t="n">
        <f aca="false">SUM(B41:B43)</f>
        <v>149571.9</v>
      </c>
      <c r="C44" s="27" t="n">
        <f aca="false">SUM(C41:C43)</f>
        <v>259848.5</v>
      </c>
    </row>
    <row r="46" customFormat="false" ht="15" hidden="false" customHeight="false" outlineLevel="0" collapsed="false">
      <c r="A46" s="11" t="s">
        <v>364</v>
      </c>
    </row>
    <row r="47" customFormat="false" ht="15" hidden="false" customHeight="false" outlineLevel="0" collapsed="false">
      <c r="A47" s="7" t="s">
        <v>365</v>
      </c>
      <c r="B47" s="15" t="n">
        <f aca="false">$B$12*$B$14/12</f>
        <v>13.5338416666667</v>
      </c>
    </row>
    <row r="48" customFormat="false" ht="15" hidden="false" customHeight="false" outlineLevel="0" collapsed="false">
      <c r="A48" s="7" t="s">
        <v>366</v>
      </c>
      <c r="B48" s="10" t="n">
        <f aca="false">B47/$B$12</f>
        <v>0.0691666666666667</v>
      </c>
    </row>
    <row r="49" customFormat="false" ht="15" hidden="false" customHeight="false" outlineLevel="0" collapsed="false">
      <c r="A49" s="7" t="s">
        <v>367</v>
      </c>
      <c r="B49" s="10" t="n">
        <f aca="false">B47/$B$13</f>
        <v>0.0711745551757384</v>
      </c>
    </row>
    <row r="50" customFormat="false" ht="15" hidden="false" customHeight="false" outlineLevel="0" collapsed="false">
      <c r="A50" s="7" t="s">
        <v>368</v>
      </c>
      <c r="B50" s="24" t="n">
        <f aca="false">206000*313/(313+256)</f>
        <v>113318.101933216</v>
      </c>
    </row>
    <row r="51" customFormat="false" ht="15" hidden="false" customHeight="false" outlineLevel="0" collapsed="false">
      <c r="A51" s="7" t="s">
        <v>369</v>
      </c>
      <c r="B51" s="10" t="n">
        <f aca="false">(0.44+0.44+0.527)/3</f>
        <v>0.469</v>
      </c>
      <c r="C51" s="10" t="n">
        <f aca="false">(0.44+0.527+0.527)/3</f>
        <v>0.498</v>
      </c>
      <c r="D51" s="10" t="n">
        <f aca="false">0.527</f>
        <v>0.527</v>
      </c>
    </row>
    <row r="52" customFormat="false" ht="15" hidden="false" customHeight="false" outlineLevel="0" collapsed="false">
      <c r="A52" s="7" t="s">
        <v>370</v>
      </c>
      <c r="B52" s="10" t="n">
        <f aca="false">(0.44+0.44+0.517)/3</f>
        <v>0.465666666666667</v>
      </c>
      <c r="C52" s="10" t="n">
        <f aca="false">(0.44+0.517+0.517)/3</f>
        <v>0.491333333333333</v>
      </c>
      <c r="D52" s="10" t="n">
        <f aca="false">0.517</f>
        <v>0.517</v>
      </c>
    </row>
    <row r="53" customFormat="false" ht="15" hidden="false" customHeight="false" outlineLevel="0" collapsed="false">
      <c r="A53" s="7" t="s">
        <v>371</v>
      </c>
      <c r="B53" s="15" t="n">
        <f aca="false">744/642</f>
        <v>1.1588785046729</v>
      </c>
    </row>
    <row r="54" customFormat="false" ht="15" hidden="false" customHeight="false" outlineLevel="0" collapsed="false">
      <c r="A54" s="7" t="s">
        <v>372</v>
      </c>
      <c r="B54" s="15" t="n">
        <f aca="false">513/576</f>
        <v>0.890625</v>
      </c>
    </row>
    <row r="55" customFormat="false" ht="15" hidden="false" customHeight="false" outlineLevel="0" collapsed="false">
      <c r="A55" s="7" t="s">
        <v>373</v>
      </c>
      <c r="B55" s="7" t="n">
        <f aca="false">ROUND(576*1.08,0)-513</f>
        <v>109</v>
      </c>
      <c r="C55" s="7" t="n">
        <f aca="false">ROUND(576*1.16,0)-513</f>
        <v>155</v>
      </c>
    </row>
    <row r="56" customFormat="false" ht="15" hidden="false" customHeight="false" outlineLevel="0" collapsed="false">
      <c r="A56" s="7" t="s">
        <v>374</v>
      </c>
      <c r="B56" s="7" t="n">
        <f aca="false">ROUND(459*(1.08-0.96),0)</f>
        <v>55</v>
      </c>
      <c r="C56" s="7" t="n">
        <f aca="false">ROUND(520*(1.16-0.96),0)</f>
        <v>104</v>
      </c>
    </row>
    <row r="57" customFormat="false" ht="15" hidden="false" customHeight="false" outlineLevel="0" collapsed="false">
      <c r="A57" s="7" t="s">
        <v>375</v>
      </c>
      <c r="B57" s="28" t="n">
        <f aca="false">50/(1.08-0.96)</f>
        <v>416.666666666666</v>
      </c>
    </row>
    <row r="59" customFormat="false" ht="15" hidden="false" customHeight="false" outlineLevel="0" collapsed="false">
      <c r="A59" s="11" t="s">
        <v>376</v>
      </c>
    </row>
    <row r="60" customFormat="false" ht="15" hidden="false" customHeight="false" outlineLevel="0" collapsed="false">
      <c r="A60" s="6"/>
      <c r="B60" s="6" t="s">
        <v>377</v>
      </c>
      <c r="C60" s="6" t="s">
        <v>378</v>
      </c>
      <c r="D60" s="6" t="s">
        <v>379</v>
      </c>
      <c r="E60" s="6" t="s">
        <v>380</v>
      </c>
    </row>
    <row r="61" customFormat="false" ht="15" hidden="false" customHeight="false" outlineLevel="0" collapsed="false">
      <c r="A61" s="7" t="s">
        <v>381</v>
      </c>
      <c r="B61" s="21" t="n">
        <v>0.41</v>
      </c>
      <c r="C61" s="21" t="n">
        <v>0.37</v>
      </c>
      <c r="D61" s="21" t="n">
        <v>0.36</v>
      </c>
      <c r="E61" s="21" t="n">
        <v>0.36</v>
      </c>
    </row>
    <row r="62" customFormat="false" ht="15" hidden="false" customHeight="false" outlineLevel="0" collapsed="false">
      <c r="A62" s="7" t="s">
        <v>382</v>
      </c>
      <c r="B62" s="21" t="n">
        <v>195.67</v>
      </c>
      <c r="C62" s="21" t="n">
        <v>202.93</v>
      </c>
      <c r="D62" s="21" t="n">
        <v>207.89</v>
      </c>
      <c r="E62" s="21" t="n">
        <v>212.52</v>
      </c>
    </row>
    <row r="63" customFormat="false" ht="15" hidden="false" customHeight="false" outlineLevel="0" collapsed="false">
      <c r="A63" s="7" t="s">
        <v>383</v>
      </c>
      <c r="B63" s="29" t="n">
        <v>0.7</v>
      </c>
    </row>
    <row r="64" customFormat="false" ht="15" hidden="false" customHeight="false" outlineLevel="0" collapsed="false">
      <c r="A64" s="7" t="s">
        <v>384</v>
      </c>
      <c r="B64" s="30" t="n">
        <v>50</v>
      </c>
    </row>
    <row r="65" customFormat="false" ht="15" hidden="false" customHeight="false" outlineLevel="0" collapsed="false">
      <c r="A65" s="7" t="s">
        <v>385</v>
      </c>
      <c r="B65" s="31" t="n">
        <v>0.5</v>
      </c>
    </row>
    <row r="66" customFormat="false" ht="15" hidden="false" customHeight="false" outlineLevel="0" collapsed="false">
      <c r="A66" s="7" t="s">
        <v>386</v>
      </c>
      <c r="B66" s="16" t="n">
        <f aca="false">0.155+0.305+0.08</f>
        <v>0.54</v>
      </c>
    </row>
    <row r="67" customFormat="false" ht="15" hidden="false" customHeight="false" outlineLevel="0" collapsed="false">
      <c r="A67" s="7" t="s">
        <v>387</v>
      </c>
      <c r="B67" s="13" t="n">
        <f aca="false">0.05*$B$6+0.015*$B$7</f>
        <v>63.39</v>
      </c>
    </row>
    <row r="69" customFormat="false" ht="15" hidden="false" customHeight="false" outlineLevel="0" collapsed="false">
      <c r="A69" s="6" t="s">
        <v>388</v>
      </c>
      <c r="B69" s="6" t="s">
        <v>377</v>
      </c>
      <c r="C69" s="6" t="s">
        <v>378</v>
      </c>
      <c r="D69" s="6" t="s">
        <v>379</v>
      </c>
      <c r="E69" s="6" t="s">
        <v>380</v>
      </c>
      <c r="H69" s="11" t="s">
        <v>389</v>
      </c>
      <c r="I69" s="11" t="s">
        <v>378</v>
      </c>
      <c r="J69" s="11" t="s">
        <v>379</v>
      </c>
      <c r="K69" s="11" t="s">
        <v>380</v>
      </c>
    </row>
    <row r="70" customFormat="false" ht="15" hidden="false" customHeight="false" outlineLevel="0" collapsed="false">
      <c r="A70" s="7" t="s">
        <v>390</v>
      </c>
      <c r="B70" s="10" t="n">
        <f aca="false">H70/B$62</f>
        <v>0.0408851637961875</v>
      </c>
      <c r="C70" s="10" t="n">
        <f aca="false">I70/C$62</f>
        <v>0.0375991721283201</v>
      </c>
      <c r="D70" s="10" t="n">
        <f aca="false">J70/D$62</f>
        <v>0.034970417047477</v>
      </c>
      <c r="E70" s="10" t="n">
        <f aca="false">K70/E$62</f>
        <v>0.0325145868624129</v>
      </c>
      <c r="H70" s="15" t="n">
        <f aca="false">($B$15+(0)-B$61)</f>
        <v>8</v>
      </c>
      <c r="I70" s="15" t="n">
        <f aca="false">(H70+(0)-C$61)</f>
        <v>7.63</v>
      </c>
      <c r="J70" s="15" t="n">
        <f aca="false">(I70+(0)-D$61)</f>
        <v>7.27</v>
      </c>
      <c r="K70" s="15" t="n">
        <f aca="false">(J70+(0)-E$61)</f>
        <v>6.91</v>
      </c>
    </row>
    <row r="71" customFormat="false" ht="15" hidden="false" customHeight="false" outlineLevel="0" collapsed="false">
      <c r="A71" s="7" t="s">
        <v>391</v>
      </c>
      <c r="B71" s="10" t="n">
        <f aca="false">H71/B$62</f>
        <v>0.0444626156283539</v>
      </c>
      <c r="C71" s="10" t="n">
        <f aca="false">I71/C$62</f>
        <v>0.0444981027940669</v>
      </c>
      <c r="D71" s="10" t="n">
        <f aca="false">J71/D$62</f>
        <v>0.0450719130309298</v>
      </c>
      <c r="E71" s="10" t="n">
        <f aca="false">K71/E$62</f>
        <v>0.0456898174289479</v>
      </c>
      <c r="H71" s="15" t="n">
        <f aca="false">($B$15+($B$63)-B$61)</f>
        <v>8.7</v>
      </c>
      <c r="I71" s="15" t="n">
        <f aca="false">(H71+($B$63)-C$61)</f>
        <v>9.03</v>
      </c>
      <c r="J71" s="15" t="n">
        <f aca="false">(I71+($B$63)-D$61)</f>
        <v>9.37</v>
      </c>
      <c r="K71" s="15" t="n">
        <f aca="false">(J71+($B$63)-E$61)</f>
        <v>9.71</v>
      </c>
    </row>
    <row r="72" customFormat="false" ht="15" hidden="false" customHeight="false" outlineLevel="0" collapsed="false">
      <c r="A72" s="7" t="s">
        <v>392</v>
      </c>
      <c r="B72" s="10" t="n">
        <f aca="false">H72/B$62</f>
        <v>0.0463535544539275</v>
      </c>
      <c r="C72" s="10" t="n">
        <f aca="false">I72/C$62</f>
        <v>0.0499679692504805</v>
      </c>
      <c r="D72" s="10" t="n">
        <f aca="false">J72/D$62</f>
        <v>0.0557506373562942</v>
      </c>
      <c r="E72" s="10" t="n">
        <f aca="false">K72/E$62</f>
        <v>0.0630999435347261</v>
      </c>
      <c r="H72" s="15" t="n">
        <f aca="false">($B$15+($B$63+$B$64*1*$B$5*$B$65/1000000)-B$61)</f>
        <v>9.07</v>
      </c>
      <c r="I72" s="15" t="n">
        <f aca="false">(H72+($B$63+$B$64*2*$B$5*$B$65/1000000)-C$61)</f>
        <v>10.14</v>
      </c>
      <c r="J72" s="15" t="n">
        <f aca="false">(I72+($B$63+$B$64*3*$B$5*$B$65/1000000)-D$61)</f>
        <v>11.59</v>
      </c>
      <c r="K72" s="15" t="n">
        <f aca="false">(J72+($B$63+$B$64*4*$B$5*$B$65/1000000)-E$61)</f>
        <v>13.41</v>
      </c>
    </row>
    <row r="73" customFormat="false" ht="15" hidden="false" customHeight="false" outlineLevel="0" collapsed="false">
      <c r="A73" s="7" t="s">
        <v>393</v>
      </c>
      <c r="B73" s="10" t="n">
        <f aca="false">H73/B$62</f>
        <v>0.0482444932795012</v>
      </c>
      <c r="C73" s="10" t="n">
        <f aca="false">I73/C$62</f>
        <v>0.055437835706894</v>
      </c>
      <c r="D73" s="10" t="n">
        <f aca="false">J73/D$62</f>
        <v>0.0664293616816586</v>
      </c>
      <c r="E73" s="10" t="n">
        <f aca="false">K73/E$62</f>
        <v>0.0805100696405044</v>
      </c>
      <c r="H73" s="15" t="n">
        <f aca="false">($B$15+($B$63+$B$64*1*$B$5/1000000)-B$61)</f>
        <v>9.44</v>
      </c>
      <c r="I73" s="15" t="n">
        <f aca="false">(H73+($B$63+$B$64*2*$B$5/1000000)-C$61)</f>
        <v>11.25</v>
      </c>
      <c r="J73" s="15" t="n">
        <f aca="false">(I73+($B$63+$B$64*3*$B$5/1000000)-D$61)</f>
        <v>13.81</v>
      </c>
      <c r="K73" s="15" t="n">
        <f aca="false">(J73+($B$63+$B$64*4*$B$5/1000000)-E$61)</f>
        <v>17.11</v>
      </c>
    </row>
    <row r="74" customFormat="false" ht="15" hidden="false" customHeight="false" outlineLevel="0" collapsed="false">
      <c r="A74" s="7" t="s">
        <v>394</v>
      </c>
      <c r="B74" s="10" t="n">
        <f aca="false">H74/B$62</f>
        <v>0.056932590586191</v>
      </c>
      <c r="C74" s="10" t="n">
        <f aca="false">I74/C$62</f>
        <v>0.068545803971813</v>
      </c>
      <c r="D74" s="10" t="n">
        <f aca="false">J74/D$62</f>
        <v>0.0802828418875367</v>
      </c>
      <c r="E74" s="10" t="n">
        <f aca="false">K74/E$62</f>
        <v>0.0916149068322981</v>
      </c>
      <c r="H74" s="15" t="n">
        <f aca="false">($B$15+($B$8)-B$61)</f>
        <v>11.14</v>
      </c>
      <c r="I74" s="15" t="n">
        <f aca="false">(H74+($B$8)-C$61)</f>
        <v>13.91</v>
      </c>
      <c r="J74" s="15" t="n">
        <f aca="false">(I74+($B$8)-D$61)</f>
        <v>16.69</v>
      </c>
      <c r="K74" s="15" t="n">
        <f aca="false">(J74+($B$8)-E$61)</f>
        <v>19.47</v>
      </c>
    </row>
    <row r="75" customFormat="false" ht="15" hidden="false" customHeight="false" outlineLevel="0" collapsed="false">
      <c r="A75" s="7" t="s">
        <v>395</v>
      </c>
      <c r="B75" s="10" t="n">
        <f aca="false">H75/B$62</f>
        <v>0.05233300965912</v>
      </c>
      <c r="C75" s="10" t="n">
        <f aca="false">I75/C$62</f>
        <v>0.0596757502587099</v>
      </c>
      <c r="D75" s="10" t="n">
        <f aca="false">J75/D$62</f>
        <v>0.067295204194526</v>
      </c>
      <c r="E75" s="10" t="n">
        <f aca="false">K75/E$62</f>
        <v>0.0746753246753247</v>
      </c>
      <c r="H75" s="15" t="n">
        <f aca="false">($B$15+(2.24)-B$61)</f>
        <v>10.24</v>
      </c>
      <c r="I75" s="15" t="n">
        <f aca="false">(H75+(2.24)-C$61)</f>
        <v>12.11</v>
      </c>
      <c r="J75" s="15" t="n">
        <f aca="false">(I75+(2.24)-D$61)</f>
        <v>13.99</v>
      </c>
      <c r="K75" s="15" t="n">
        <f aca="false">(J75+(2.24)-E$61)</f>
        <v>15.87</v>
      </c>
    </row>
    <row r="76" customFormat="false" ht="15" hidden="false" customHeight="false" outlineLevel="0" collapsed="false">
      <c r="A76" s="7" t="s">
        <v>396</v>
      </c>
      <c r="B76" s="10" t="n">
        <f aca="false">H76/B$62</f>
        <v>0.0493781775438238</v>
      </c>
      <c r="C76" s="10" t="n">
        <f aca="false">I76/C$62</f>
        <v>0.0539775094860297</v>
      </c>
      <c r="D76" s="10" t="n">
        <f aca="false">J76/D$62</f>
        <v>0.0589517725720333</v>
      </c>
      <c r="E76" s="10" t="n">
        <f aca="false">K76/E$62</f>
        <v>0.0637931112365895</v>
      </c>
      <c r="H76" s="15" t="n">
        <f aca="false">($B$15+($B$8-$B$66-$B$67*$B$5/1000000)-B$61)</f>
        <v>9.661828</v>
      </c>
      <c r="I76" s="15" t="n">
        <f aca="false">(H76+($B$8-$B$66-$B$67*$B$5/1000000)-C$61)</f>
        <v>10.953656</v>
      </c>
      <c r="J76" s="15" t="n">
        <f aca="false">(I76+($B$8-$B$66-$B$67*$B$5/1000000)-D$61)</f>
        <v>12.255484</v>
      </c>
      <c r="K76" s="15" t="n">
        <f aca="false">(J76+($B$8-$B$66-$B$67*$B$5/1000000)-E$61)</f>
        <v>13.557312</v>
      </c>
    </row>
    <row r="77" customFormat="false" ht="15" hidden="false" customHeight="false" outlineLevel="0" collapsed="false">
      <c r="A77" s="7" t="s">
        <v>397</v>
      </c>
      <c r="B77" s="10" t="n">
        <f aca="false">H77/B$62</f>
        <v>0.0476894812694843</v>
      </c>
      <c r="C77" s="10" t="n">
        <f aca="false">I77/C$62</f>
        <v>0.0507209461390627</v>
      </c>
      <c r="D77" s="10" t="n">
        <f aca="false">J77/D$62</f>
        <v>0.0541834739525711</v>
      </c>
      <c r="E77" s="10" t="n">
        <f aca="false">K77/E$62</f>
        <v>0.0575738904573687</v>
      </c>
      <c r="H77" s="15" t="n">
        <f aca="false">($B$15+(C37)-B$61)</f>
        <v>9.3314008</v>
      </c>
      <c r="I77" s="15" t="n">
        <f aca="false">(H77+(C37)-C$61)</f>
        <v>10.2928016</v>
      </c>
      <c r="J77" s="15" t="n">
        <f aca="false">(I77+(C37)-D$61)</f>
        <v>11.2642024</v>
      </c>
      <c r="K77" s="15" t="n">
        <f aca="false">(J77+(C37)-E$61)</f>
        <v>12.2356032</v>
      </c>
    </row>
    <row r="78" customFormat="false" ht="15" hidden="false" customHeight="false" outlineLevel="0" collapsed="false">
      <c r="A78" s="7" t="s">
        <v>398</v>
      </c>
      <c r="B78" s="10" t="n">
        <f aca="false">H78/B$62</f>
        <v>0.0324141871518373</v>
      </c>
      <c r="C78" s="10" t="n">
        <f aca="false">I78/C$62</f>
        <v>0.0212633321835116</v>
      </c>
      <c r="D78" s="10" t="n">
        <f aca="false">J78/D$62</f>
        <v>0.0110512867381789</v>
      </c>
      <c r="E78" s="10" t="n">
        <f aca="false">K78/E$62</f>
        <v>0.00131722190852627</v>
      </c>
      <c r="H78" s="15" t="n">
        <f aca="false">($B$15+($B$8-$B$66-287.67*$B$5/1000000)-B$61)</f>
        <v>6.342484</v>
      </c>
      <c r="I78" s="15" t="n">
        <f aca="false">(H78+($B$8-$B$66-287.67*$B$5/1000000)-C$61)</f>
        <v>4.314968</v>
      </c>
      <c r="J78" s="15" t="n">
        <f aca="false">(I78+($B$8-$B$66-287.67*$B$5/1000000)-D$61)</f>
        <v>2.297452</v>
      </c>
      <c r="K78" s="15" t="n">
        <f aca="false">(J78+($B$8-$B$66-287.67*$B$5/1000000)-E$61)</f>
        <v>0.279936000000002</v>
      </c>
    </row>
    <row r="80" customFormat="false" ht="15" hidden="false" customHeight="false" outlineLevel="0" collapsed="false">
      <c r="A80" s="7" t="s">
        <v>399</v>
      </c>
      <c r="B80" s="28" t="n">
        <f aca="false">($B$8-$B$66)*1000000/$B$5</f>
        <v>175.675675675676</v>
      </c>
    </row>
    <row r="81" customFormat="false" ht="15" hidden="false" customHeight="false" outlineLevel="0" collapsed="false">
      <c r="A81" s="7" t="s">
        <v>400</v>
      </c>
      <c r="B81" s="28" t="n">
        <f aca="false">($B$8-$B$66-B61)*1000000/$B$5</f>
        <v>147.972972972973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8" min="5" style="0" width="13"/>
    <col collapsed="false" customWidth="true" hidden="false" outlineLevel="0" max="10" min="9" style="0" width="12"/>
  </cols>
  <sheetData>
    <row r="1" customFormat="false" ht="16.15" hidden="false" customHeight="false" outlineLevel="0" collapsed="false">
      <c r="A1" s="4" t="s">
        <v>401</v>
      </c>
    </row>
    <row r="2" customFormat="false" ht="15" hidden="false" customHeight="false" outlineLevel="0" collapsed="false">
      <c r="A2" s="5" t="s">
        <v>402</v>
      </c>
    </row>
    <row r="4" customFormat="false" ht="15" hidden="false" customHeight="false" outlineLevel="0" collapsed="false">
      <c r="A4" s="7" t="s">
        <v>403</v>
      </c>
      <c r="B4" s="30" t="n">
        <v>19</v>
      </c>
    </row>
    <row r="5" customFormat="false" ht="15" hidden="false" customHeight="false" outlineLevel="0" collapsed="false">
      <c r="A5" s="7" t="s">
        <v>404</v>
      </c>
      <c r="B5" s="30" t="n">
        <v>27</v>
      </c>
    </row>
    <row r="6" customFormat="false" ht="15" hidden="false" customHeight="false" outlineLevel="0" collapsed="false">
      <c r="A6" s="7" t="s">
        <v>405</v>
      </c>
      <c r="B6" s="13" t="n">
        <f aca="false">(4*B4+2*B5)/6</f>
        <v>21.6666666666667</v>
      </c>
    </row>
    <row r="7" customFormat="false" ht="15" hidden="false" customHeight="false" outlineLevel="0" collapsed="false">
      <c r="A7" s="7" t="s">
        <v>406</v>
      </c>
      <c r="B7" s="8" t="n">
        <v>25</v>
      </c>
    </row>
    <row r="8" customFormat="false" ht="15" hidden="false" customHeight="false" outlineLevel="0" collapsed="false">
      <c r="A8" s="7" t="s">
        <v>407</v>
      </c>
      <c r="B8" s="8" t="n">
        <v>10</v>
      </c>
    </row>
    <row r="9" customFormat="false" ht="15" hidden="false" customHeight="false" outlineLevel="0" collapsed="false">
      <c r="A9" s="7" t="s">
        <v>408</v>
      </c>
      <c r="B9" s="30" t="n">
        <v>24</v>
      </c>
      <c r="C9" s="30" t="n">
        <v>21</v>
      </c>
    </row>
    <row r="11" customFormat="false" ht="26.85" hidden="false" customHeight="false" outlineLevel="0" collapsed="false">
      <c r="A11" s="6" t="s">
        <v>409</v>
      </c>
      <c r="B11" s="6" t="s">
        <v>410</v>
      </c>
      <c r="C11" s="6" t="s">
        <v>411</v>
      </c>
      <c r="D11" s="6" t="s">
        <v>412</v>
      </c>
      <c r="E11" s="6" t="s">
        <v>413</v>
      </c>
      <c r="F11" s="6" t="s">
        <v>414</v>
      </c>
      <c r="G11" s="6" t="s">
        <v>415</v>
      </c>
      <c r="H11" s="6" t="s">
        <v>416</v>
      </c>
      <c r="I11" s="6" t="s">
        <v>417</v>
      </c>
      <c r="J11" s="6" t="s">
        <v>418</v>
      </c>
    </row>
    <row r="12" customFormat="false" ht="15" hidden="false" customHeight="false" outlineLevel="0" collapsed="false">
      <c r="A12" s="7" t="s">
        <v>152</v>
      </c>
      <c r="B12" s="8" t="n">
        <v>509</v>
      </c>
      <c r="C12" s="8" t="n">
        <v>24</v>
      </c>
      <c r="D12" s="8" t="n">
        <v>2</v>
      </c>
      <c r="E12" s="7" t="n">
        <f aca="false">(C12-D12)*$B$7+D12*$B$8</f>
        <v>570</v>
      </c>
      <c r="F12" s="25" t="n">
        <f aca="false">B12/E12</f>
        <v>0.892982456140351</v>
      </c>
      <c r="G12" s="28" t="n">
        <f aca="false">(C12-D12)*$B$6+D12*$B$8</f>
        <v>496.666666666667</v>
      </c>
      <c r="H12" s="25" t="n">
        <f aca="false">B12/G12</f>
        <v>1.0248322147651</v>
      </c>
      <c r="I12" s="25" t="n">
        <f aca="false">B12/((C12-D12)*$B$9+D12*$B$8)</f>
        <v>0.928832116788321</v>
      </c>
      <c r="J12" s="25" t="n">
        <f aca="false">B12/((C12-D12)*$C$9+D12*$B$8)</f>
        <v>1.05601659751037</v>
      </c>
    </row>
    <row r="13" customFormat="false" ht="15" hidden="false" customHeight="false" outlineLevel="0" collapsed="false">
      <c r="A13" s="7" t="s">
        <v>153</v>
      </c>
      <c r="B13" s="8" t="n">
        <v>429</v>
      </c>
      <c r="C13" s="8" t="n">
        <v>20</v>
      </c>
      <c r="D13" s="8" t="n">
        <v>1</v>
      </c>
      <c r="E13" s="7" t="n">
        <f aca="false">(C13-D13)*$B$7+D13*$B$8</f>
        <v>485</v>
      </c>
      <c r="F13" s="25" t="n">
        <f aca="false">B13/E13</f>
        <v>0.884536082474227</v>
      </c>
      <c r="G13" s="28" t="n">
        <f aca="false">(C13-D13)*$B$6+D13*$B$8</f>
        <v>421.666666666667</v>
      </c>
      <c r="H13" s="25" t="n">
        <f aca="false">B13/G13</f>
        <v>1.01739130434783</v>
      </c>
      <c r="I13" s="25" t="n">
        <f aca="false">B13/((C13-D13)*$B$9+D13*$B$8)</f>
        <v>0.920600858369099</v>
      </c>
      <c r="J13" s="25" t="n">
        <f aca="false">B13/((C13-D13)*$C$9+D13*$B$8)</f>
        <v>1.04889975550122</v>
      </c>
    </row>
    <row r="14" customFormat="false" ht="15" hidden="false" customHeight="false" outlineLevel="0" collapsed="false">
      <c r="A14" s="7" t="s">
        <v>155</v>
      </c>
      <c r="B14" s="8" t="n">
        <v>498</v>
      </c>
      <c r="C14" s="8" t="n">
        <v>25</v>
      </c>
      <c r="D14" s="8" t="n">
        <v>2</v>
      </c>
      <c r="E14" s="7" t="n">
        <f aca="false">(C14-D14)*$B$7+D14*$B$8</f>
        <v>595</v>
      </c>
      <c r="F14" s="25" t="n">
        <f aca="false">B14/E14</f>
        <v>0.836974789915966</v>
      </c>
      <c r="G14" s="28" t="n">
        <f aca="false">(C14-D14)*$B$6+D14*$B$8</f>
        <v>518.333333333333</v>
      </c>
      <c r="H14" s="25" t="n">
        <f aca="false">B14/G14</f>
        <v>0.960771704180064</v>
      </c>
      <c r="I14" s="25" t="n">
        <f aca="false">B14/((C14-D14)*$B$9+D14*$B$8)</f>
        <v>0.870629370629371</v>
      </c>
      <c r="J14" s="25" t="n">
        <f aca="false">B14/((C14-D14)*$C$9+D14*$B$8)</f>
        <v>0.990059642147117</v>
      </c>
    </row>
    <row r="15" customFormat="false" ht="15" hidden="false" customHeight="false" outlineLevel="0" collapsed="false">
      <c r="A15" s="7" t="s">
        <v>154</v>
      </c>
      <c r="B15" s="8" t="n">
        <v>478</v>
      </c>
      <c r="C15" s="8" t="n">
        <v>24</v>
      </c>
      <c r="D15" s="8" t="n">
        <v>2</v>
      </c>
      <c r="E15" s="7" t="n">
        <f aca="false">(C15-D15)*$B$7+D15*$B$8</f>
        <v>570</v>
      </c>
      <c r="F15" s="25" t="n">
        <f aca="false">B15/E15</f>
        <v>0.83859649122807</v>
      </c>
      <c r="G15" s="28" t="n">
        <f aca="false">(C15-D15)*$B$6+D15*$B$8</f>
        <v>496.666666666667</v>
      </c>
      <c r="H15" s="25" t="n">
        <f aca="false">B15/G15</f>
        <v>0.96241610738255</v>
      </c>
      <c r="I15" s="25" t="n">
        <f aca="false">B15/((C15-D15)*$B$9+D15*$B$8)</f>
        <v>0.872262773722628</v>
      </c>
      <c r="J15" s="25" t="n">
        <f aca="false">B15/((C15-D15)*$C$9+D15*$B$8)</f>
        <v>0.991701244813278</v>
      </c>
    </row>
    <row r="16" customFormat="false" ht="15" hidden="false" customHeight="false" outlineLevel="0" collapsed="false">
      <c r="A16" s="7" t="s">
        <v>151</v>
      </c>
      <c r="B16" s="8" t="n">
        <v>494</v>
      </c>
      <c r="C16" s="8" t="n">
        <v>28</v>
      </c>
      <c r="D16" s="8" t="n">
        <v>2</v>
      </c>
      <c r="E16" s="7" t="n">
        <f aca="false">(C16-D16)*$B$7+D16*$B$8</f>
        <v>670</v>
      </c>
      <c r="F16" s="25" t="n">
        <f aca="false">B16/E16</f>
        <v>0.737313432835821</v>
      </c>
      <c r="G16" s="28" t="n">
        <f aca="false">(C16-D16)*$B$6+D16*$B$8</f>
        <v>583.333333333333</v>
      </c>
      <c r="H16" s="25" t="n">
        <f aca="false">B16/G16</f>
        <v>0.846857142857143</v>
      </c>
      <c r="I16" s="25" t="n">
        <f aca="false">B16/((C16-D16)*$B$9+D16*$B$8)</f>
        <v>0.767080745341615</v>
      </c>
      <c r="J16" s="25" t="n">
        <f aca="false">B16/((C16-D16)*$C$9+D16*$B$8)</f>
        <v>0.872791519434629</v>
      </c>
    </row>
    <row r="18" customFormat="false" ht="15" hidden="false" customHeight="false" outlineLevel="0" collapsed="false">
      <c r="A18" s="11" t="s">
        <v>419</v>
      </c>
    </row>
    <row r="19" customFormat="false" ht="15" hidden="false" customHeight="false" outlineLevel="0" collapsed="false">
      <c r="A19" s="7" t="s">
        <v>420</v>
      </c>
      <c r="B19" s="9" t="n">
        <f aca="false">204*$B$6+12*$B$8</f>
        <v>4540</v>
      </c>
    </row>
    <row r="20" customFormat="false" ht="15" hidden="false" customHeight="false" outlineLevel="0" collapsed="false">
      <c r="A20" s="7" t="s">
        <v>421</v>
      </c>
    </row>
    <row r="21" customFormat="false" ht="15" hidden="false" customHeight="false" outlineLevel="0" collapsed="false">
      <c r="A21" s="7" t="s">
        <v>420</v>
      </c>
      <c r="B21" s="9" t="n">
        <f aca="false">155*$B$6+11*$B$8</f>
        <v>3468.33333333333</v>
      </c>
    </row>
    <row r="22" customFormat="false" ht="15" hidden="false" customHeight="false" outlineLevel="0" collapsed="false">
      <c r="A22" s="7" t="s">
        <v>422</v>
      </c>
      <c r="B22" s="9" t="n">
        <f aca="false">155*$B$7+11*$B$8</f>
        <v>3985</v>
      </c>
    </row>
    <row r="23" customFormat="false" ht="15" hidden="false" customHeight="false" outlineLevel="0" collapsed="false">
      <c r="A23" s="7" t="s">
        <v>423</v>
      </c>
      <c r="B23" s="8" t="n">
        <v>3270</v>
      </c>
    </row>
    <row r="24" customFormat="false" ht="15" hidden="false" customHeight="false" outlineLevel="0" collapsed="false">
      <c r="A24" s="7" t="s">
        <v>416</v>
      </c>
      <c r="B24" s="25" t="n">
        <f aca="false">B23/B21</f>
        <v>0.942815953868333</v>
      </c>
    </row>
    <row r="25" customFormat="false" ht="15" hidden="false" customHeight="false" outlineLevel="0" collapsed="false">
      <c r="A25" s="7" t="s">
        <v>414</v>
      </c>
      <c r="B25" s="25" t="n">
        <f aca="false">B23/B22</f>
        <v>0.820577164366374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0"/>
  </cols>
  <sheetData>
    <row r="1" customFormat="false" ht="16.15" hidden="false" customHeight="false" outlineLevel="0" collapsed="false">
      <c r="A1" s="4" t="s">
        <v>424</v>
      </c>
    </row>
    <row r="2" customFormat="false" ht="15" hidden="false" customHeight="false" outlineLevel="0" collapsed="false">
      <c r="A2" s="5" t="s">
        <v>425</v>
      </c>
    </row>
    <row r="4" customFormat="false" ht="15" hidden="false" customHeight="false" outlineLevel="0" collapsed="false">
      <c r="A4" s="11" t="s">
        <v>426</v>
      </c>
    </row>
    <row r="5" customFormat="false" ht="15" hidden="false" customHeight="false" outlineLevel="0" collapsed="false">
      <c r="A5" s="6" t="s">
        <v>409</v>
      </c>
      <c r="B5" s="6" t="s">
        <v>427</v>
      </c>
      <c r="C5" s="6" t="s">
        <v>428</v>
      </c>
      <c r="D5" s="6" t="s">
        <v>429</v>
      </c>
    </row>
    <row r="6" customFormat="false" ht="15" hidden="false" customHeight="false" outlineLevel="0" collapsed="false">
      <c r="A6" s="7" t="s">
        <v>158</v>
      </c>
      <c r="B6" s="8" t="n">
        <v>165</v>
      </c>
      <c r="C6" s="8" t="n">
        <v>169</v>
      </c>
      <c r="D6" s="19" t="n">
        <f aca="false">C6/B6-1</f>
        <v>0.0242424242424242</v>
      </c>
    </row>
    <row r="7" customFormat="false" ht="15" hidden="false" customHeight="false" outlineLevel="0" collapsed="false">
      <c r="A7" s="7" t="s">
        <v>152</v>
      </c>
      <c r="B7" s="8" t="n">
        <v>429</v>
      </c>
      <c r="C7" s="8" t="n">
        <v>406</v>
      </c>
      <c r="D7" s="19" t="n">
        <f aca="false">C7/B7-1</f>
        <v>-0.0536130536130536</v>
      </c>
    </row>
    <row r="8" customFormat="false" ht="15" hidden="false" customHeight="false" outlineLevel="0" collapsed="false">
      <c r="A8" s="7" t="s">
        <v>153</v>
      </c>
      <c r="B8" s="8" t="n">
        <v>263</v>
      </c>
      <c r="C8" s="8" t="n">
        <v>260</v>
      </c>
      <c r="D8" s="19" t="n">
        <f aca="false">C8/B8-1</f>
        <v>-0.0114068441064639</v>
      </c>
    </row>
    <row r="9" customFormat="false" ht="15" hidden="false" customHeight="false" outlineLevel="0" collapsed="false">
      <c r="A9" s="7" t="s">
        <v>151</v>
      </c>
      <c r="B9" s="8" t="n">
        <v>430</v>
      </c>
      <c r="C9" s="8" t="n">
        <v>337</v>
      </c>
      <c r="D9" s="19" t="n">
        <f aca="false">C9/B9-1</f>
        <v>-0.216279069767442</v>
      </c>
    </row>
    <row r="10" customFormat="false" ht="15" hidden="false" customHeight="false" outlineLevel="0" collapsed="false">
      <c r="A10" s="7" t="s">
        <v>157</v>
      </c>
      <c r="B10" s="8" t="n">
        <v>284</v>
      </c>
      <c r="C10" s="8" t="n">
        <v>298</v>
      </c>
      <c r="D10" s="19" t="n">
        <f aca="false">C10/B10-1</f>
        <v>0.0492957746478873</v>
      </c>
    </row>
    <row r="11" customFormat="false" ht="15" hidden="false" customHeight="false" outlineLevel="0" collapsed="false">
      <c r="A11" s="7" t="s">
        <v>149</v>
      </c>
      <c r="B11" s="8" t="n">
        <v>290</v>
      </c>
      <c r="C11" s="8" t="n">
        <v>313</v>
      </c>
      <c r="D11" s="19" t="n">
        <f aca="false">C11/B11-1</f>
        <v>0.0793103448275863</v>
      </c>
    </row>
    <row r="12" customFormat="false" ht="15" hidden="false" customHeight="false" outlineLevel="0" collapsed="false">
      <c r="A12" s="7" t="s">
        <v>150</v>
      </c>
      <c r="B12" s="8" t="n">
        <v>185</v>
      </c>
      <c r="C12" s="8" t="n">
        <v>176</v>
      </c>
      <c r="D12" s="19" t="n">
        <f aca="false">C12/B12-1</f>
        <v>-0.0486486486486486</v>
      </c>
    </row>
    <row r="13" customFormat="false" ht="15" hidden="false" customHeight="false" outlineLevel="0" collapsed="false">
      <c r="A13" s="7" t="s">
        <v>148</v>
      </c>
      <c r="B13" s="8" t="n">
        <v>280</v>
      </c>
      <c r="C13" s="8" t="n">
        <v>279</v>
      </c>
      <c r="D13" s="19" t="n">
        <f aca="false">C13/B13-1</f>
        <v>-0.00357142857142856</v>
      </c>
    </row>
    <row r="14" customFormat="false" ht="15" hidden="false" customHeight="false" outlineLevel="0" collapsed="false">
      <c r="A14" s="7" t="s">
        <v>156</v>
      </c>
      <c r="B14" s="8" t="n">
        <v>386</v>
      </c>
      <c r="C14" s="8" t="n">
        <v>397</v>
      </c>
      <c r="D14" s="19" t="n">
        <f aca="false">C14/B14-1</f>
        <v>0.028497409326425</v>
      </c>
    </row>
    <row r="15" customFormat="false" ht="15" hidden="false" customHeight="false" outlineLevel="0" collapsed="false">
      <c r="A15" s="7" t="s">
        <v>155</v>
      </c>
      <c r="B15" s="8" t="n">
        <v>353</v>
      </c>
      <c r="C15" s="8" t="n">
        <v>391</v>
      </c>
      <c r="D15" s="19" t="n">
        <f aca="false">C15/B15-1</f>
        <v>0.107648725212464</v>
      </c>
    </row>
    <row r="16" customFormat="false" ht="15" hidden="false" customHeight="false" outlineLevel="0" collapsed="false">
      <c r="A16" s="7" t="s">
        <v>154</v>
      </c>
      <c r="B16" s="8" t="n">
        <v>332</v>
      </c>
      <c r="C16" s="8" t="n">
        <v>336</v>
      </c>
      <c r="D16" s="19" t="n">
        <f aca="false">C16/B16-1</f>
        <v>0.0120481927710843</v>
      </c>
    </row>
    <row r="17" customFormat="false" ht="15" hidden="false" customHeight="false" outlineLevel="0" collapsed="false">
      <c r="A17" s="11" t="s">
        <v>363</v>
      </c>
      <c r="B17" s="7" t="n">
        <f aca="false">SUM(B6:B16)</f>
        <v>3397</v>
      </c>
      <c r="C17" s="7" t="n">
        <f aca="false">SUM(C6:C16)</f>
        <v>3362</v>
      </c>
      <c r="D17" s="19" t="n">
        <f aca="false">C17/B17-1</f>
        <v>-0.0103032087135708</v>
      </c>
    </row>
    <row r="18" customFormat="false" ht="15" hidden="false" customHeight="false" outlineLevel="0" collapsed="false">
      <c r="A18" s="7" t="s">
        <v>430</v>
      </c>
      <c r="D18" s="10" t="n">
        <f aca="false">SUMPRODUCT(ABS(D6:D16))/COUNT(D6:D16)</f>
        <v>0.0576874468849916</v>
      </c>
    </row>
    <row r="19" customFormat="false" ht="15" hidden="false" customHeight="false" outlineLevel="0" collapsed="false">
      <c r="A19" s="7" t="s">
        <v>431</v>
      </c>
      <c r="D19" s="10" t="n">
        <f aca="false">STDEV(D6:D16)</f>
        <v>0.0859756270202444</v>
      </c>
    </row>
    <row r="21" customFormat="false" ht="15" hidden="false" customHeight="false" outlineLevel="0" collapsed="false">
      <c r="A21" s="11" t="s">
        <v>432</v>
      </c>
    </row>
    <row r="22" customFormat="false" ht="15" hidden="false" customHeight="false" outlineLevel="0" collapsed="false">
      <c r="A22" s="6" t="s">
        <v>409</v>
      </c>
      <c r="B22" s="6" t="s">
        <v>427</v>
      </c>
      <c r="C22" s="6" t="s">
        <v>433</v>
      </c>
      <c r="D22" s="6" t="s">
        <v>429</v>
      </c>
    </row>
    <row r="23" customFormat="false" ht="15" hidden="false" customHeight="false" outlineLevel="0" collapsed="false">
      <c r="A23" s="7" t="s">
        <v>158</v>
      </c>
      <c r="B23" s="8" t="n">
        <v>181</v>
      </c>
      <c r="C23" s="8" t="n">
        <v>166</v>
      </c>
      <c r="D23" s="19" t="n">
        <f aca="false">C23/B23-1</f>
        <v>-0.0828729281767956</v>
      </c>
    </row>
    <row r="24" customFormat="false" ht="15" hidden="false" customHeight="false" outlineLevel="0" collapsed="false">
      <c r="A24" s="7" t="s">
        <v>152</v>
      </c>
      <c r="B24" s="8" t="n">
        <v>378</v>
      </c>
      <c r="C24" s="8" t="n">
        <v>382</v>
      </c>
      <c r="D24" s="19" t="n">
        <f aca="false">C24/B24-1</f>
        <v>0.0105820105820107</v>
      </c>
    </row>
    <row r="25" customFormat="false" ht="15" hidden="false" customHeight="false" outlineLevel="0" collapsed="false">
      <c r="A25" s="7" t="s">
        <v>153</v>
      </c>
      <c r="B25" s="8" t="n">
        <v>286</v>
      </c>
      <c r="C25" s="8" t="n">
        <v>271</v>
      </c>
      <c r="D25" s="19" t="n">
        <f aca="false">C25/B25-1</f>
        <v>-0.0524475524475524</v>
      </c>
    </row>
    <row r="26" customFormat="false" ht="15" hidden="false" customHeight="false" outlineLevel="0" collapsed="false">
      <c r="A26" s="7" t="s">
        <v>151</v>
      </c>
      <c r="B26" s="8" t="n">
        <v>335</v>
      </c>
      <c r="C26" s="8" t="n">
        <v>271</v>
      </c>
      <c r="D26" s="19" t="n">
        <f aca="false">C26/B26-1</f>
        <v>-0.191044776119403</v>
      </c>
    </row>
    <row r="27" customFormat="false" ht="15" hidden="false" customHeight="false" outlineLevel="0" collapsed="false">
      <c r="A27" s="7" t="s">
        <v>157</v>
      </c>
      <c r="B27" s="8" t="n">
        <v>300</v>
      </c>
      <c r="C27" s="8" t="n">
        <v>303</v>
      </c>
      <c r="D27" s="19" t="n">
        <f aca="false">C27/B27-1</f>
        <v>0.01</v>
      </c>
    </row>
    <row r="28" customFormat="false" ht="15" hidden="false" customHeight="false" outlineLevel="0" collapsed="false">
      <c r="A28" s="7" t="s">
        <v>149</v>
      </c>
      <c r="B28" s="8" t="n">
        <v>326</v>
      </c>
      <c r="C28" s="8" t="n">
        <v>306</v>
      </c>
      <c r="D28" s="19" t="n">
        <f aca="false">C28/B28-1</f>
        <v>-0.0613496932515337</v>
      </c>
    </row>
    <row r="29" customFormat="false" ht="15" hidden="false" customHeight="false" outlineLevel="0" collapsed="false">
      <c r="A29" s="7" t="s">
        <v>150</v>
      </c>
      <c r="B29" s="8" t="n">
        <v>175</v>
      </c>
      <c r="C29" s="8" t="n">
        <v>160</v>
      </c>
      <c r="D29" s="19" t="n">
        <f aca="false">C29/B29-1</f>
        <v>-0.0857142857142857</v>
      </c>
    </row>
    <row r="30" customFormat="false" ht="15" hidden="false" customHeight="false" outlineLevel="0" collapsed="false">
      <c r="A30" s="7" t="s">
        <v>148</v>
      </c>
      <c r="B30" s="8" t="n">
        <v>273</v>
      </c>
      <c r="C30" s="8" t="n">
        <v>275</v>
      </c>
      <c r="D30" s="19" t="n">
        <f aca="false">C30/B30-1</f>
        <v>0.0073260073260073</v>
      </c>
    </row>
    <row r="31" customFormat="false" ht="15" hidden="false" customHeight="false" outlineLevel="0" collapsed="false">
      <c r="A31" s="7" t="s">
        <v>156</v>
      </c>
      <c r="B31" s="8" t="n">
        <v>392</v>
      </c>
      <c r="C31" s="8" t="n">
        <v>382</v>
      </c>
      <c r="D31" s="19" t="n">
        <f aca="false">C31/B31-1</f>
        <v>-0.0255102040816326</v>
      </c>
    </row>
    <row r="32" customFormat="false" ht="15" hidden="false" customHeight="false" outlineLevel="0" collapsed="false">
      <c r="A32" s="7" t="s">
        <v>155</v>
      </c>
      <c r="B32" s="8" t="n">
        <v>399</v>
      </c>
      <c r="C32" s="8" t="n">
        <v>375</v>
      </c>
      <c r="D32" s="19" t="n">
        <f aca="false">C32/B32-1</f>
        <v>-0.0601503759398496</v>
      </c>
    </row>
    <row r="33" customFormat="false" ht="15" hidden="false" customHeight="false" outlineLevel="0" collapsed="false">
      <c r="A33" s="7" t="s">
        <v>154</v>
      </c>
      <c r="B33" s="8" t="n">
        <v>317</v>
      </c>
      <c r="C33" s="8" t="n">
        <v>362</v>
      </c>
      <c r="D33" s="19" t="n">
        <f aca="false">C33/B33-1</f>
        <v>0.141955835962145</v>
      </c>
    </row>
    <row r="34" customFormat="false" ht="15" hidden="false" customHeight="false" outlineLevel="0" collapsed="false">
      <c r="A34" s="11" t="s">
        <v>363</v>
      </c>
      <c r="B34" s="7" t="n">
        <f aca="false">SUM(B23:B33)</f>
        <v>3362</v>
      </c>
      <c r="C34" s="7" t="n">
        <f aca="false">SUM(C23:C33)</f>
        <v>3253</v>
      </c>
      <c r="D34" s="19" t="n">
        <f aca="false">C34/B34-1</f>
        <v>-0.0324211778703153</v>
      </c>
    </row>
    <row r="35" customFormat="false" ht="15" hidden="false" customHeight="false" outlineLevel="0" collapsed="false">
      <c r="A35" s="7" t="s">
        <v>430</v>
      </c>
      <c r="D35" s="10" t="n">
        <f aca="false">SUMPRODUCT(ABS(D23:D33))/COUNT(D23:D33)</f>
        <v>0.0662685154182924</v>
      </c>
    </row>
    <row r="36" customFormat="false" ht="15" hidden="false" customHeight="false" outlineLevel="0" collapsed="false">
      <c r="A36" s="7" t="s">
        <v>431</v>
      </c>
      <c r="D36" s="10" t="n">
        <f aca="false">STDEV(D23:D33)</f>
        <v>0.0825475645807287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2026-10-13T18:25:50Z</dcterms:created>
  <dc:creator>openpyxl</dc:creator>
  <dc:description/>
  <dc:language>en-US</dc:language>
  <cp:lastModifiedBy/>
  <dcterms:modified xsi:type="dcterms:W3CDTF">2026-10-13T18:25:51Z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